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wwu2.sharepoint.com/sites/ASFinanceCouncil/Shared Documents/General/Meetings/5.11.20/Documents/"/>
    </mc:Choice>
  </mc:AlternateContent>
  <xr:revisionPtr revIDLastSave="0" documentId="8_{41E20674-72A4-42B7-A0E8-9E7C5BFCB9B7}" xr6:coauthVersionLast="44" xr6:coauthVersionMax="44" xr10:uidLastSave="{00000000-0000-0000-0000-000000000000}"/>
  <bookViews>
    <workbookView xWindow="-28920" yWindow="2655" windowWidth="29040" windowHeight="15840" xr2:uid="{00000000-000D-0000-FFFF-FFFF00000000}"/>
  </bookViews>
  <sheets>
    <sheet name="Allocation Summary"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 l="1"/>
  <c r="J9" i="1"/>
  <c r="J121" i="1" s="1"/>
  <c r="D117" i="1"/>
  <c r="E117" i="1"/>
  <c r="F117" i="1"/>
  <c r="G117" i="1"/>
  <c r="H117" i="1"/>
  <c r="I117" i="1"/>
  <c r="J117" i="1"/>
  <c r="D94" i="1"/>
  <c r="E94" i="1"/>
  <c r="F94" i="1"/>
  <c r="G94" i="1"/>
  <c r="H94" i="1"/>
  <c r="I94" i="1"/>
  <c r="J94" i="1"/>
  <c r="J70" i="1"/>
  <c r="J74" i="1"/>
  <c r="D74" i="1"/>
  <c r="E74" i="1"/>
  <c r="F74" i="1"/>
  <c r="G74" i="1"/>
  <c r="H74" i="1"/>
  <c r="I74" i="1"/>
  <c r="D85" i="1"/>
  <c r="E85" i="1"/>
  <c r="F85" i="1"/>
  <c r="G85" i="1"/>
  <c r="H85" i="1"/>
  <c r="I85" i="1"/>
  <c r="J85" i="1"/>
  <c r="K85" i="1"/>
  <c r="K121" i="1" s="1"/>
  <c r="L85" i="1"/>
  <c r="L121" i="1" s="1"/>
  <c r="M85" i="1"/>
  <c r="M121" i="1" s="1"/>
  <c r="N74" i="1"/>
  <c r="D9" i="1"/>
  <c r="E9" i="1"/>
  <c r="F9" i="1"/>
  <c r="G9" i="1"/>
  <c r="H9" i="1"/>
  <c r="I9" i="1"/>
  <c r="D16" i="1"/>
  <c r="E16" i="1"/>
  <c r="F16" i="1"/>
  <c r="G16" i="1"/>
  <c r="H16" i="1"/>
  <c r="I16" i="1"/>
  <c r="J16" i="1"/>
  <c r="D22" i="1"/>
  <c r="E22" i="1"/>
  <c r="F22" i="1"/>
  <c r="G22" i="1"/>
  <c r="H22" i="1"/>
  <c r="I22" i="1"/>
  <c r="J22" i="1"/>
  <c r="D33" i="1"/>
  <c r="E33" i="1"/>
  <c r="F33" i="1"/>
  <c r="G33" i="1"/>
  <c r="H33" i="1"/>
  <c r="I33" i="1"/>
  <c r="J33" i="1"/>
  <c r="D46" i="1"/>
  <c r="E46" i="1"/>
  <c r="F46" i="1"/>
  <c r="G46" i="1"/>
  <c r="H46" i="1"/>
  <c r="I46" i="1"/>
  <c r="J46" i="1"/>
  <c r="D50" i="1"/>
  <c r="E50" i="1"/>
  <c r="F50" i="1"/>
  <c r="G50" i="1"/>
  <c r="H50" i="1"/>
  <c r="I50" i="1"/>
  <c r="J50" i="1"/>
  <c r="D61" i="1"/>
  <c r="E61" i="1"/>
  <c r="F61" i="1"/>
  <c r="G61" i="1"/>
  <c r="H61" i="1"/>
  <c r="I61" i="1"/>
  <c r="J61" i="1"/>
  <c r="K61" i="1"/>
  <c r="F121" i="1"/>
  <c r="K9" i="1"/>
  <c r="N121" i="1"/>
  <c r="K117" i="1"/>
  <c r="K110" i="1"/>
  <c r="N110" i="1"/>
  <c r="J110" i="1"/>
  <c r="K94" i="1"/>
  <c r="G121" i="1" l="1"/>
  <c r="D121" i="1"/>
  <c r="I121" i="1"/>
  <c r="E121" i="1"/>
  <c r="H121" i="1"/>
  <c r="N92" i="1"/>
  <c r="L9" i="1" l="1"/>
  <c r="M9" i="1"/>
  <c r="L117" i="1" l="1"/>
  <c r="M117" i="1"/>
  <c r="P117" i="1" s="1"/>
  <c r="O117" i="1" l="1"/>
  <c r="K144" i="1" l="1"/>
  <c r="N124" i="1" l="1"/>
  <c r="N50" i="1"/>
  <c r="P124" i="1"/>
  <c r="O124" i="1"/>
  <c r="K50" i="1"/>
  <c r="L50" i="1"/>
  <c r="M50" i="1"/>
  <c r="K46" i="1"/>
  <c r="K22" i="1"/>
  <c r="M110" i="1"/>
  <c r="M102" i="1"/>
  <c r="M94" i="1"/>
  <c r="M74" i="1"/>
  <c r="M65" i="1"/>
  <c r="M61" i="1"/>
  <c r="M46" i="1"/>
  <c r="M33" i="1"/>
  <c r="M22" i="1"/>
  <c r="M16" i="1"/>
  <c r="K102" i="1"/>
  <c r="K65" i="1"/>
  <c r="K33" i="1"/>
  <c r="K16" i="1"/>
  <c r="L94" i="1"/>
  <c r="D89" i="1"/>
  <c r="D90" i="1"/>
  <c r="D92" i="1"/>
  <c r="L110" i="1"/>
  <c r="I110" i="1"/>
  <c r="H110" i="1"/>
  <c r="G109" i="1"/>
  <c r="F109" i="1"/>
  <c r="E109" i="1"/>
  <c r="D109" i="1"/>
  <c r="G107" i="1"/>
  <c r="G110" i="1" s="1"/>
  <c r="F107" i="1"/>
  <c r="F110" i="1" s="1"/>
  <c r="E107" i="1"/>
  <c r="E110" i="1" s="1"/>
  <c r="D107" i="1"/>
  <c r="D110" i="1" s="1"/>
  <c r="L102" i="1"/>
  <c r="J102" i="1"/>
  <c r="I102" i="1"/>
  <c r="H102" i="1"/>
  <c r="G102" i="1"/>
  <c r="F102" i="1"/>
  <c r="E102" i="1"/>
  <c r="D102" i="1"/>
  <c r="L74" i="1"/>
  <c r="K71" i="1"/>
  <c r="K74" i="1" s="1"/>
  <c r="L65" i="1"/>
  <c r="J65" i="1"/>
  <c r="I65" i="1"/>
  <c r="H65" i="1"/>
  <c r="G65" i="1"/>
  <c r="F65" i="1"/>
  <c r="E65" i="1"/>
  <c r="D65" i="1"/>
  <c r="L61" i="1"/>
  <c r="L46" i="1"/>
  <c r="G44" i="1"/>
  <c r="F44" i="1"/>
  <c r="E44" i="1"/>
  <c r="D44" i="1"/>
  <c r="L33" i="1"/>
  <c r="L22" i="1"/>
  <c r="L16" i="1"/>
  <c r="J124" i="1"/>
  <c r="I126" i="1"/>
  <c r="N117" i="1" l="1"/>
  <c r="Q117" i="1" s="1"/>
  <c r="O16" i="1"/>
  <c r="P16" i="1"/>
  <c r="O22" i="1"/>
  <c r="P22" i="1"/>
  <c r="P94" i="1"/>
  <c r="O94" i="1"/>
  <c r="P50" i="1"/>
  <c r="O50" i="1"/>
  <c r="O65" i="1"/>
  <c r="P65" i="1"/>
  <c r="O102" i="1"/>
  <c r="P102" i="1"/>
  <c r="P74" i="1"/>
  <c r="O74" i="1"/>
  <c r="P110" i="1"/>
  <c r="O110" i="1"/>
  <c r="K127" i="1"/>
  <c r="O85" i="1"/>
  <c r="P85" i="1"/>
  <c r="O61" i="1"/>
  <c r="P61" i="1"/>
  <c r="O46" i="1"/>
  <c r="P46" i="1"/>
  <c r="P33" i="1"/>
  <c r="O33" i="1"/>
  <c r="P9" i="1"/>
  <c r="O9" i="1"/>
  <c r="Q50" i="1"/>
  <c r="L127" i="1"/>
  <c r="M127" i="1"/>
  <c r="N65" i="1"/>
  <c r="Q65" i="1" s="1"/>
  <c r="N33" i="1"/>
  <c r="Q33" i="1" s="1"/>
  <c r="N85" i="1"/>
  <c r="N16" i="1"/>
  <c r="Q16" i="1" s="1"/>
  <c r="N9" i="1"/>
  <c r="N22" i="1"/>
  <c r="Q22" i="1" s="1"/>
  <c r="N102" i="1"/>
  <c r="Q110" i="1"/>
  <c r="N94" i="1"/>
  <c r="Q94" i="1" s="1"/>
  <c r="N61" i="1"/>
  <c r="Q61" i="1" s="1"/>
  <c r="N46" i="1"/>
  <c r="Q46" i="1" s="1"/>
  <c r="Q74" i="1" l="1"/>
  <c r="O121" i="1"/>
  <c r="Q85" i="1"/>
  <c r="Q102" i="1"/>
  <c r="Q9" i="1"/>
  <c r="P121" i="1"/>
  <c r="P127" i="1" l="1"/>
  <c r="O127" i="1"/>
  <c r="N127" i="1"/>
  <c r="Q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Nate Jo</author>
    <author>Cindy Monger</author>
  </authors>
  <commentList>
    <comment ref="M73" authorId="0" shapeId="0" xr:uid="{00000000-0006-0000-0000-000001000000}">
      <text>
        <r>
          <rPr>
            <b/>
            <sz val="9"/>
            <color indexed="81"/>
            <rFont val="Tahoma"/>
            <family val="2"/>
          </rPr>
          <t>Nate Jo:</t>
        </r>
        <r>
          <rPr>
            <sz val="9"/>
            <color indexed="81"/>
            <rFont val="Tahoma"/>
            <family val="2"/>
          </rPr>
          <t xml:space="preserve">
Recommended for inclusion in the AS Reserves Policy</t>
        </r>
      </text>
    </comment>
    <comment ref="G107" authorId="1" shapeId="0" xr:uid="{00000000-0006-0000-0000-00000200000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09" authorId="1" shapeId="0" xr:uid="{00000000-0006-0000-0000-00000300000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List>
</comments>
</file>

<file path=xl/sharedStrings.xml><?xml version="1.0" encoding="utf-8"?>
<sst xmlns="http://schemas.openxmlformats.org/spreadsheetml/2006/main" count="356" uniqueCount="323">
  <si>
    <t>FY'12 Allocation</t>
  </si>
  <si>
    <t>FY'13 Allocation</t>
  </si>
  <si>
    <t>FY'15 Allocation</t>
  </si>
  <si>
    <t>FY'16       Allocation</t>
  </si>
  <si>
    <t>FY'17       Allocation</t>
  </si>
  <si>
    <t>FY'18 Allocation</t>
  </si>
  <si>
    <t>FY'19 Allocation</t>
  </si>
  <si>
    <t>FY20 Allocation</t>
  </si>
  <si>
    <t>After Technical Review</t>
  </si>
  <si>
    <t>FY21 Original Request</t>
  </si>
  <si>
    <t>FY21 Adjusted Request</t>
  </si>
  <si>
    <t>FY21 -5%</t>
  </si>
  <si>
    <t>FY21 -10%</t>
  </si>
  <si>
    <t>Notes on Budgets</t>
  </si>
  <si>
    <t>Budget Descriptions</t>
  </si>
  <si>
    <t xml:space="preserve">Club Activities                 </t>
  </si>
  <si>
    <t>Activities</t>
  </si>
  <si>
    <t>FXXACT</t>
  </si>
  <si>
    <t>Club Activities Admin</t>
  </si>
  <si>
    <t>Minimum wage increase.  Decrease in Summer Student Employment</t>
  </si>
  <si>
    <t>Student Staff pay, supplies for the Club Hub, and to cover event-related and promotional expenses for large AS Club system-wide events (e.g. AS Club Kickoff, AS Club Showcase, and AS Club End-of-the-Year Awards). Also for various contests &amp; promotional club competitions.</t>
  </si>
  <si>
    <t>FXXBSC</t>
  </si>
  <si>
    <t>Club Basic Funding</t>
  </si>
  <si>
    <t>Provide Basic Funding for New Clubs.  New Clubs are able to request up to $75 during the recognition process for start up funds. including, but not limited to, supplies, marketing materials and food provided as incentive for new memership. Voted on by Activities Council.</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</si>
  <si>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</si>
  <si>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</si>
  <si>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</si>
  <si>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</si>
  <si>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</si>
  <si>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</si>
  <si>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</si>
  <si>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</si>
  <si>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</si>
  <si>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</si>
  <si>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</si>
  <si>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</si>
  <si>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</si>
  <si>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</si>
  <si>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</si>
  <si>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</si>
  <si>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</si>
  <si>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</si>
  <si>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</si>
  <si>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</si>
  <si>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</si>
  <si>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</si>
  <si>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</si>
  <si>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</si>
  <si>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</si>
  <si>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</si>
  <si>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</si>
  <si>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</si>
  <si>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OC Student staff.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</si>
  <si>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</si>
  <si>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</si>
  <si>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</si>
  <si>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</si>
  <si>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</si>
  <si>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</si>
  <si>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</si>
  <si>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2% increase in software &amp; minimum wage increase. Reduction in Summer Student Employment hours</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</si>
  <si>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</si>
  <si>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</si>
  <si>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</si>
  <si>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</si>
  <si>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</si>
  <si>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</si>
  <si>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</si>
  <si>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</si>
  <si>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</si>
  <si>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</si>
  <si>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</si>
  <si>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student administrative/program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</si>
  <si>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</si>
  <si>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</si>
  <si>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</si>
  <si>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</si>
  <si>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</si>
  <si>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</si>
  <si>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</si>
  <si>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</si>
  <si>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</si>
  <si>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</si>
  <si>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</si>
  <si>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</si>
  <si>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</si>
  <si>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</si>
  <si>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</si>
  <si>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</si>
  <si>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</si>
  <si>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</si>
  <si>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</si>
  <si>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</si>
  <si>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</si>
  <si>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</si>
  <si>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Minimum wage increase.  Decrease in Summer Student Employment. Hold on Director ASP position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</si>
  <si>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</si>
  <si>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</si>
  <si>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</si>
  <si>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</si>
  <si>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</si>
  <si>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</si>
  <si>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</si>
  <si>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</si>
  <si>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</si>
  <si>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</si>
  <si>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</si>
  <si>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</si>
  <si>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</si>
  <si>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</si>
  <si>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</si>
  <si>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</si>
  <si>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Late Night programs happen twice a year.  Including VU Late Night.  That hosts late night entertainment and programming to serve as a healthy and fun option for primarily new (Frosh/Soph) Students. Late Night Events usually host 1000-3000 attendees throughout the year.</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</si>
  <si>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</si>
  <si>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</si>
  <si>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</si>
  <si>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</si>
  <si>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</si>
  <si>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</si>
  <si>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</si>
  <si>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</si>
  <si>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change to structure and revenue decrease</t>
  </si>
  <si>
    <t>Provide one large scale festival style event each quarter (Fall,Winter, Spring) Free to the WWU Community. plus Arts/music Industry conference.</t>
  </si>
  <si>
    <t>FXXSPE</t>
  </si>
  <si>
    <t>ASP Special Events</t>
  </si>
  <si>
    <t>Fund large-scale entertainment and educational programming for the Western community via specialty events. Expenses include performer and speaker fees, event services, ticketing fees, among many others. Varies yearly based on interest or need.</t>
  </si>
  <si>
    <t>Total AS Productions</t>
  </si>
  <si>
    <t>AS Summer Activities</t>
  </si>
  <si>
    <t>FXXSMR</t>
  </si>
  <si>
    <t>Summer Concert Series</t>
  </si>
  <si>
    <t>Reduction in Summer Programming due to COVID</t>
  </si>
  <si>
    <t xml:space="preserve">Funds free noon concerts open to all that take place during the 6-week summer session on 5 of the 6 Wednesdays in the PAC Plaza, or 5 one hour performances.  </t>
  </si>
  <si>
    <t>Total AS Summer Activities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</si>
  <si>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</si>
  <si>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</si>
  <si>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</si>
  <si>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</si>
  <si>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</si>
  <si>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</si>
  <si>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</si>
  <si>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</si>
  <si>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t>
  </si>
  <si>
    <t>This budget covers the cost of toner and paper for the Xerox Machines.</t>
  </si>
  <si>
    <t>FXXINS</t>
  </si>
  <si>
    <t>Institutional Recharge</t>
  </si>
  <si>
    <t>Fee (6.275% of revenue recieved ~3 Million)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</si>
  <si>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</si>
  <si>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</si>
  <si>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</si>
  <si>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</si>
  <si>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</si>
  <si>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</si>
  <si>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</si>
  <si>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</si>
  <si>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</si>
  <si>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</si>
  <si>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</si>
  <si>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 xml:space="preserve">AS Vehicles </t>
  </si>
  <si>
    <t>self-sustaining</t>
  </si>
  <si>
    <t>This is  self-sustaining budget for AS Motorpool expenses and chargebacks.</t>
  </si>
  <si>
    <t>FXXWEB</t>
  </si>
  <si>
    <t>Website Design &amp; Development</t>
  </si>
  <si>
    <t>Increase in position pay per VU Pay Rate scale.  Decrease in Summer Student hours</t>
  </si>
  <si>
    <t>This budget funds the positions that support the software, application,  and website development environment of the AS website and suite of ASVU applications.</t>
  </si>
  <si>
    <t>Total Centralized Services</t>
  </si>
  <si>
    <t xml:space="preserve">Professional Advisement &amp; Leadership Development  </t>
  </si>
  <si>
    <t>FXXVU</t>
  </si>
  <si>
    <t>Student Activities Administration</t>
  </si>
  <si>
    <t xml:space="preserve"> 3% mandatory increases in salaries &amp; min wage. Reduced Summer Student Staff Hours. </t>
  </si>
  <si>
    <t>Budget covers all professional staff involved with the AS, supplies, and professional development. ($33,419 set aside as unallocated for AD Equity &amp; Inclusion as a result of DOS Reorganization.)</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</si>
  <si>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</si>
  <si>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</si>
  <si>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</si>
  <si>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</si>
  <si>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</si>
  <si>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</si>
  <si>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</si>
  <si>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</si>
  <si>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</si>
  <si>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</si>
  <si>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</si>
  <si>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</si>
  <si>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</si>
  <si>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</si>
  <si>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</si>
  <si>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</si>
  <si>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</si>
  <si>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</si>
  <si>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</si>
  <si>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</si>
  <si>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</si>
  <si>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</si>
  <si>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</si>
  <si>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</si>
  <si>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</si>
  <si>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</si>
  <si>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</si>
  <si>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</si>
  <si>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</si>
  <si>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</si>
  <si>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</si>
  <si>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</si>
  <si>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</si>
  <si>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</si>
  <si>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</si>
  <si>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</si>
  <si>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</si>
  <si>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</si>
  <si>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</si>
  <si>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</si>
  <si>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</si>
  <si>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</si>
  <si>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</si>
  <si>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</si>
  <si>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</si>
  <si>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</si>
  <si>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</si>
  <si>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</si>
  <si>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Office of Civic Engagement</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</si>
  <si>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</si>
  <si>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</si>
  <si>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</si>
  <si>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</si>
  <si>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</si>
  <si>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Provides funding to promote awareness of the AS Elections, entice people toward running for elected positions in the AS Elections, promote voter education about both the general and AS Elections, and ensure the maxmimum voter accessibility possible.</t>
  </si>
  <si>
    <t>FXXLEG</t>
  </si>
  <si>
    <t>Director for Legislative Affairs</t>
  </si>
  <si>
    <t xml:space="preserve">Budget for the Director for Legislative Affairs. Includes all moving expenses, rental costs for their winter quarter hiatus in Olympia, and costs for their events during Fall and Spring. </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</si>
  <si>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</si>
  <si>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</si>
  <si>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</si>
  <si>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FXXREP</t>
  </si>
  <si>
    <t>Office of Civic Engagement Admin</t>
  </si>
  <si>
    <t>Minimum wage increase.  Decrease in Summer Student Employment.  Includes positions moved from SAIRC Admin.</t>
  </si>
  <si>
    <t>The OCE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</si>
  <si>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</si>
  <si>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</si>
  <si>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</si>
  <si>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Total Office of Civic Engagement</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</si>
  <si>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</si>
  <si>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</si>
  <si>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</si>
  <si>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</si>
  <si>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</si>
  <si>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</si>
  <si>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</si>
  <si>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</si>
  <si>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</si>
  <si>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</si>
  <si>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</si>
  <si>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</si>
  <si>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This budget primarily pays for the salaries for student and professional staff for the ESC, supplies and advertising. Unallocated salary savings $27,804 set aside for AD Equity and Inclusion</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</si>
  <si>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</si>
  <si>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</si>
  <si>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</si>
  <si>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</si>
  <si>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</si>
  <si>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</si>
  <si>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</si>
  <si>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</si>
  <si>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</si>
  <si>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</si>
  <si>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</si>
  <si>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</si>
  <si>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</si>
  <si>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</si>
  <si>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FXXROP</t>
  </si>
  <si>
    <t>Student Advocacy/Identity Resource Center Admin</t>
  </si>
  <si>
    <t xml:space="preserve">Pays for SAIRC employee's salaries, centralized advertising and promotion; training and supervising SAIRC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</si>
  <si>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</si>
  <si>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</si>
  <si>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</si>
  <si>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</si>
  <si>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</si>
  <si>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</si>
  <si>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Total SAIRC</t>
  </si>
  <si>
    <t xml:space="preserve">AS Subsidies                 </t>
  </si>
  <si>
    <t>AS Subsidies</t>
  </si>
  <si>
    <t>FXLLCE</t>
  </si>
  <si>
    <t>Western Leadership Advantage</t>
  </si>
  <si>
    <t>LEADS peer leadership educators can facilitate 40 different modules. in various departments, units, clubs, groups. LEADS advises the largest AS Club, NSLS-WWU leadership honorary. LEADS co-sponsors and co-staffs 6-8 speaker broadcasts each year.   The total annual budget for this program is ~$150,000.</t>
  </si>
  <si>
    <t>FXCHLD</t>
  </si>
  <si>
    <t>Child Development Center Administration</t>
  </si>
  <si>
    <t>Cost of running the Child Development Center. Provides childcare for students, staff, and faculty. This program is partially funded by the AS.  The total annual budget for this program is ~$617,000.</t>
  </si>
  <si>
    <t>FXCHFD</t>
  </si>
  <si>
    <t>Child Development Foods Program</t>
  </si>
  <si>
    <t>FXXVIQ</t>
  </si>
  <si>
    <t>Viqueen Lodge</t>
  </si>
  <si>
    <t>Total AS Subsidies</t>
  </si>
  <si>
    <t>TOTAL AS BUDGET</t>
  </si>
  <si>
    <t>Revenue</t>
  </si>
  <si>
    <t>S&amp;A Fee Summer Quarter</t>
  </si>
  <si>
    <t>S&amp;A Fee Academic</t>
  </si>
  <si>
    <t>Additional S&amp;A Allocation</t>
  </si>
  <si>
    <t>Bookstore Profit Share</t>
  </si>
  <si>
    <t>Difference</t>
  </si>
  <si>
    <t>FY21 Decision Packages</t>
  </si>
  <si>
    <t>Request</t>
  </si>
  <si>
    <t>Status</t>
  </si>
  <si>
    <t>ESC Additional Program Assistant</t>
  </si>
  <si>
    <t>Cancelled</t>
  </si>
  <si>
    <t>ESC Conference (Additional Night)</t>
  </si>
  <si>
    <t>Moved to grant proposal</t>
  </si>
  <si>
    <t>ESC Club Programming</t>
  </si>
  <si>
    <t>Postponed to next budget cycle</t>
  </si>
  <si>
    <t>FXXLLCE</t>
  </si>
  <si>
    <t>LEADS Sustaining Programming</t>
  </si>
  <si>
    <t>Executive Board Increase in Travel Budget</t>
  </si>
  <si>
    <t>WIRC Advocy Coordinator (ending grant)</t>
  </si>
  <si>
    <t>OC Trip Leader Training (ending grant)</t>
  </si>
  <si>
    <t>Carry forward remaining funds</t>
  </si>
  <si>
    <t>Increase in OCE Programming Funding</t>
  </si>
  <si>
    <t>May move to Legislative Action Fund</t>
  </si>
  <si>
    <t>FXXRES</t>
  </si>
  <si>
    <t>WHOLE Coordinator</t>
  </si>
  <si>
    <t>Grant Proposal</t>
  </si>
  <si>
    <t>As the WHOLE program is now funded via the Foundation it may not be appropriate to fund from AS. One year mitigation strategy is to identify a workstudy employee to coordinate the program</t>
  </si>
  <si>
    <t>Additional Board Assistant</t>
  </si>
  <si>
    <t>MCC Programming Funding</t>
  </si>
  <si>
    <t>Grant Proposal (passed)</t>
  </si>
  <si>
    <t>Moved to AS Reserve Policy</t>
  </si>
  <si>
    <t>Decision Packages Total</t>
  </si>
  <si>
    <t>Passed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</si>
</sst>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s>
  <fonts count="31">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strike/>
      <sz val="11"/>
      <color theme="1"/>
      <name val="Calibri"/>
      <family val="2"/>
      <scheme val="minor"/>
    </font>
    <font>
      <strike/>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
      <sz val="11"/>
      <color rgb="FF000000"/>
      <name val="Calibri"/>
      <family val="2"/>
      <scheme val="minor"/>
    </font>
    <font>
      <b/>
      <sz val="11"/>
      <color rgb="FF000000"/>
      <name val="Calibri"/>
      <family val="2"/>
      <scheme val="minor"/>
    </font>
    <font>
      <b/>
      <sz val="20"/>
      <color rgb="FF000000"/>
      <name val="Calibri"/>
      <family val="2"/>
      <scheme val="minor"/>
    </font>
    <font>
      <b/>
      <sz val="12"/>
      <color rgb="FFFF0000"/>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strike/>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
      <patternFill patternType="solid">
        <fgColor rgb="FFF2F2F2"/>
        <bgColor rgb="FF000000"/>
      </patternFill>
    </fill>
    <fill>
      <patternFill patternType="solid">
        <fgColor theme="4" tint="0.59999389629810485"/>
        <bgColor indexed="64"/>
      </patternFill>
    </fill>
    <fill>
      <patternFill patternType="solid">
        <fgColor rgb="FFFFB5A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Border="1" applyAlignment="1">
      <alignment horizontal="center"/>
    </xf>
    <xf numFmtId="164" fontId="5" fillId="0" borderId="0" xfId="0" applyNumberFormat="1" applyFont="1"/>
    <xf numFmtId="41" fontId="5" fillId="3" borderId="1" xfId="0" applyNumberFormat="1" applyFont="1" applyFill="1" applyBorder="1" applyAlignment="1"/>
    <xf numFmtId="41" fontId="5" fillId="0" borderId="1" xfId="0" applyNumberFormat="1" applyFont="1" applyBorder="1" applyAlignment="1"/>
    <xf numFmtId="41" fontId="2" fillId="0" borderId="0" xfId="0" applyNumberFormat="1" applyFont="1" applyFill="1" applyBorder="1"/>
    <xf numFmtId="41" fontId="4" fillId="0" borderId="0" xfId="0" applyNumberFormat="1" applyFont="1" applyFill="1" applyBorder="1" applyAlignment="1"/>
    <xf numFmtId="41" fontId="5" fillId="0" borderId="1" xfId="0" applyNumberFormat="1" applyFont="1" applyFill="1" applyBorder="1" applyAlignment="1"/>
    <xf numFmtId="41" fontId="5" fillId="0" borderId="1" xfId="1" applyNumberFormat="1" applyFont="1" applyBorder="1" applyAlignment="1"/>
    <xf numFmtId="41" fontId="5" fillId="0" borderId="1" xfId="1" applyNumberFormat="1" applyFont="1" applyFill="1" applyBorder="1" applyAlignment="1"/>
    <xf numFmtId="41" fontId="2" fillId="2" borderId="0" xfId="0" applyNumberFormat="1" applyFont="1" applyFill="1" applyBorder="1"/>
    <xf numFmtId="41" fontId="4" fillId="2" borderId="0" xfId="0" applyNumberFormat="1" applyFont="1" applyFill="1" applyBorder="1" applyAlignment="1"/>
    <xf numFmtId="41" fontId="5" fillId="2" borderId="1" xfId="0" applyNumberFormat="1" applyFont="1" applyFill="1" applyBorder="1" applyAlignment="1"/>
    <xf numFmtId="0" fontId="10" fillId="0" borderId="0" xfId="0" applyFont="1" applyBorder="1"/>
    <xf numFmtId="0" fontId="12" fillId="0" borderId="0" xfId="0" applyFont="1"/>
    <xf numFmtId="0" fontId="13" fillId="0" borderId="0" xfId="0" applyFont="1" applyFill="1" applyBorder="1"/>
    <xf numFmtId="0" fontId="13" fillId="0" borderId="0" xfId="0" applyFont="1" applyFill="1"/>
    <xf numFmtId="164" fontId="9" fillId="0" borderId="0" xfId="0" applyNumberFormat="1" applyFont="1" applyBorder="1" applyAlignment="1">
      <alignment horizontal="center" wrapText="1"/>
    </xf>
    <xf numFmtId="164" fontId="8" fillId="0" borderId="0" xfId="0" applyNumberFormat="1" applyFont="1" applyFill="1" applyBorder="1" applyAlignment="1">
      <alignment horizontal="center" wrapText="1"/>
    </xf>
    <xf numFmtId="164" fontId="8" fillId="0" borderId="0" xfId="0" applyNumberFormat="1" applyFont="1" applyFill="1" applyBorder="1" applyAlignment="1">
      <alignment horizontal="right" wrapText="1"/>
    </xf>
    <xf numFmtId="41" fontId="5" fillId="0" borderId="0" xfId="0" applyNumberFormat="1" applyFont="1" applyFill="1" applyBorder="1" applyAlignment="1"/>
    <xf numFmtId="41" fontId="5" fillId="0" borderId="0" xfId="0" applyNumberFormat="1" applyFont="1" applyBorder="1"/>
    <xf numFmtId="41" fontId="5" fillId="3" borderId="0" xfId="0" applyNumberFormat="1" applyFont="1" applyFill="1" applyBorder="1" applyAlignment="1"/>
    <xf numFmtId="0" fontId="10" fillId="0" borderId="0" xfId="0" applyFont="1" applyBorder="1" applyAlignment="1">
      <alignment horizontal="center"/>
    </xf>
    <xf numFmtId="41" fontId="11" fillId="0" borderId="0" xfId="0" applyNumberFormat="1" applyFont="1" applyFill="1" applyBorder="1" applyAlignment="1"/>
    <xf numFmtId="41" fontId="5"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0" fontId="0" fillId="3" borderId="1" xfId="0" applyFont="1" applyFill="1" applyBorder="1" applyAlignment="1">
      <alignment horizontal="center" wrapText="1"/>
    </xf>
    <xf numFmtId="0" fontId="0" fillId="2" borderId="1" xfId="0" applyFont="1" applyFill="1" applyBorder="1" applyAlignment="1">
      <alignment horizontal="left"/>
    </xf>
    <xf numFmtId="0" fontId="0" fillId="0" borderId="0" xfId="0" applyFont="1"/>
    <xf numFmtId="41" fontId="21" fillId="5" borderId="0" xfId="0" applyNumberFormat="1" applyFont="1" applyFill="1" applyBorder="1" applyAlignment="1">
      <alignment horizontal="right"/>
    </xf>
    <xf numFmtId="41" fontId="15" fillId="5" borderId="0" xfId="0" applyNumberFormat="1" applyFont="1" applyFill="1" applyBorder="1" applyAlignment="1"/>
    <xf numFmtId="164" fontId="9" fillId="2" borderId="0" xfId="0" applyNumberFormat="1" applyFont="1" applyFill="1" applyBorder="1" applyAlignment="1">
      <alignment horizontal="right" wrapText="1"/>
    </xf>
    <xf numFmtId="164" fontId="9" fillId="2" borderId="0" xfId="0" applyNumberFormat="1" applyFont="1" applyFill="1" applyBorder="1" applyAlignment="1">
      <alignment horizontal="center" wrapText="1"/>
    </xf>
    <xf numFmtId="164" fontId="9" fillId="2" borderId="0" xfId="0" applyNumberFormat="1" applyFont="1" applyFill="1" applyBorder="1" applyAlignment="1">
      <alignment wrapText="1"/>
    </xf>
    <xf numFmtId="41" fontId="19" fillId="6" borderId="0" xfId="0" applyNumberFormat="1" applyFont="1" applyFill="1" applyBorder="1"/>
    <xf numFmtId="41" fontId="20" fillId="6" borderId="0" xfId="0" applyNumberFormat="1" applyFont="1" applyFill="1" applyBorder="1"/>
    <xf numFmtId="41" fontId="21" fillId="6" borderId="0" xfId="0" applyNumberFormat="1" applyFont="1" applyFill="1" applyBorder="1" applyAlignment="1">
      <alignment horizontal="right"/>
    </xf>
    <xf numFmtId="41" fontId="5" fillId="3" borderId="1" xfId="1" applyNumberFormat="1" applyFont="1" applyFill="1" applyBorder="1" applyAlignment="1">
      <alignment wrapText="1"/>
    </xf>
    <xf numFmtId="0" fontId="15" fillId="4" borderId="0" xfId="0" applyFont="1" applyFill="1" applyBorder="1" applyAlignment="1">
      <alignment horizontal="right"/>
    </xf>
    <xf numFmtId="41" fontId="15" fillId="4" borderId="0" xfId="0" applyNumberFormat="1" applyFont="1" applyFill="1" applyBorder="1" applyAlignment="1"/>
    <xf numFmtId="9" fontId="15" fillId="4" borderId="0" xfId="4" applyFont="1" applyFill="1" applyBorder="1" applyAlignment="1">
      <alignment horizontal="center"/>
    </xf>
    <xf numFmtId="38" fontId="17" fillId="4" borderId="0" xfId="0" applyNumberFormat="1" applyFont="1" applyFill="1" applyBorder="1" applyAlignment="1"/>
    <xf numFmtId="38" fontId="21" fillId="4" borderId="0" xfId="0" applyNumberFormat="1" applyFont="1" applyFill="1" applyBorder="1" applyAlignment="1">
      <alignment horizontal="left"/>
    </xf>
    <xf numFmtId="38" fontId="20" fillId="4" borderId="0" xfId="0" applyNumberFormat="1" applyFont="1" applyFill="1" applyBorder="1" applyAlignment="1">
      <alignment horizontal="center"/>
    </xf>
    <xf numFmtId="38" fontId="21" fillId="4" borderId="0" xfId="0" applyNumberFormat="1" applyFont="1" applyFill="1" applyBorder="1" applyAlignment="1">
      <alignment horizontal="right"/>
    </xf>
    <xf numFmtId="164" fontId="19" fillId="4" borderId="0" xfId="0" applyNumberFormat="1" applyFont="1" applyFill="1" applyBorder="1"/>
    <xf numFmtId="41" fontId="20" fillId="4" borderId="0" xfId="0" applyNumberFormat="1" applyFont="1" applyFill="1" applyBorder="1"/>
    <xf numFmtId="41" fontId="16" fillId="6" borderId="0" xfId="0" applyNumberFormat="1" applyFont="1" applyFill="1" applyBorder="1"/>
    <xf numFmtId="41" fontId="15" fillId="6" borderId="0" xfId="0" applyNumberFormat="1" applyFont="1" applyFill="1" applyBorder="1" applyAlignment="1"/>
    <xf numFmtId="41" fontId="17" fillId="6" borderId="0" xfId="0" applyNumberFormat="1" applyFont="1" applyFill="1" applyBorder="1" applyAlignment="1"/>
    <xf numFmtId="165" fontId="15" fillId="4" borderId="0" xfId="3" applyNumberFormat="1" applyFont="1" applyFill="1" applyBorder="1" applyAlignment="1">
      <alignment horizontal="right"/>
    </xf>
    <xf numFmtId="41" fontId="19" fillId="7" borderId="0" xfId="0" applyNumberFormat="1" applyFont="1" applyFill="1" applyBorder="1"/>
    <xf numFmtId="41" fontId="20" fillId="7" borderId="0" xfId="0" applyNumberFormat="1" applyFont="1" applyFill="1" applyBorder="1"/>
    <xf numFmtId="41" fontId="21" fillId="7" borderId="0" xfId="0" applyNumberFormat="1" applyFont="1" applyFill="1" applyBorder="1" applyAlignment="1">
      <alignment horizontal="right"/>
    </xf>
    <xf numFmtId="41" fontId="16" fillId="7" borderId="0" xfId="0" applyNumberFormat="1" applyFont="1" applyFill="1" applyBorder="1"/>
    <xf numFmtId="41" fontId="15" fillId="7" borderId="0" xfId="0" applyNumberFormat="1" applyFont="1" applyFill="1" applyBorder="1" applyAlignment="1"/>
    <xf numFmtId="41" fontId="5" fillId="7" borderId="0" xfId="0" applyNumberFormat="1" applyFont="1" applyFill="1" applyBorder="1" applyAlignment="1"/>
    <xf numFmtId="0" fontId="22" fillId="0" borderId="0" xfId="0" applyFont="1"/>
    <xf numFmtId="0" fontId="23" fillId="0" borderId="0" xfId="0" applyFont="1" applyAlignment="1">
      <alignment horizontal="center"/>
    </xf>
    <xf numFmtId="3" fontId="22" fillId="0" borderId="0" xfId="0" applyNumberFormat="1" applyFont="1"/>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5" fillId="0" borderId="0" xfId="0" applyFont="1"/>
    <xf numFmtId="3" fontId="4" fillId="0" borderId="0" xfId="0" applyNumberFormat="1" applyFont="1"/>
    <xf numFmtId="6" fontId="23" fillId="0" borderId="0" xfId="0" applyNumberFormat="1" applyFont="1"/>
    <xf numFmtId="10" fontId="22" fillId="0" borderId="0" xfId="0" applyNumberFormat="1" applyFont="1"/>
    <xf numFmtId="41" fontId="16" fillId="2" borderId="0" xfId="0" applyNumberFormat="1" applyFont="1" applyFill="1" applyBorder="1"/>
    <xf numFmtId="41" fontId="15" fillId="2" borderId="0" xfId="0" applyNumberFormat="1" applyFont="1" applyFill="1" applyBorder="1" applyAlignment="1"/>
    <xf numFmtId="41" fontId="5" fillId="2" borderId="0" xfId="0" applyNumberFormat="1" applyFont="1" applyFill="1" applyBorder="1" applyAlignment="1"/>
    <xf numFmtId="0" fontId="16" fillId="7" borderId="0" xfId="0" applyFont="1" applyFill="1" applyBorder="1" applyAlignment="1">
      <alignment horizontal="left"/>
    </xf>
    <xf numFmtId="37" fontId="22" fillId="0" borderId="2" xfId="0" applyNumberFormat="1" applyFont="1" applyBorder="1"/>
    <xf numFmtId="37" fontId="22" fillId="0" borderId="1" xfId="0" applyNumberFormat="1" applyFont="1" applyBorder="1"/>
    <xf numFmtId="37" fontId="22" fillId="0" borderId="3" xfId="0" applyNumberFormat="1" applyFont="1" applyBorder="1"/>
    <xf numFmtId="41" fontId="14" fillId="0" borderId="1" xfId="0" applyNumberFormat="1" applyFont="1" applyFill="1" applyBorder="1"/>
    <xf numFmtId="0" fontId="13" fillId="0" borderId="1" xfId="0" applyFont="1" applyFill="1" applyBorder="1" applyAlignment="1">
      <alignment horizontal="center"/>
    </xf>
    <xf numFmtId="41" fontId="13" fillId="0" borderId="1" xfId="0" applyNumberFormat="1" applyFont="1" applyFill="1" applyBorder="1" applyAlignment="1"/>
    <xf numFmtId="0" fontId="22" fillId="0" borderId="0" xfId="0" applyFont="1" applyBorder="1" applyAlignment="1">
      <alignment horizontal="left"/>
    </xf>
    <xf numFmtId="41" fontId="16" fillId="0" borderId="0" xfId="0" applyNumberFormat="1" applyFont="1" applyFill="1" applyBorder="1"/>
    <xf numFmtId="41" fontId="15" fillId="0" borderId="0" xfId="0" applyNumberFormat="1" applyFont="1" applyFill="1" applyBorder="1" applyAlignment="1"/>
    <xf numFmtId="41" fontId="16" fillId="0" borderId="0" xfId="3" applyNumberFormat="1" applyFont="1" applyFill="1" applyBorder="1"/>
    <xf numFmtId="41" fontId="16" fillId="9" borderId="1" xfId="3" applyNumberFormat="1" applyFont="1" applyFill="1" applyBorder="1"/>
    <xf numFmtId="41" fontId="25" fillId="9" borderId="1" xfId="3" applyNumberFormat="1" applyFont="1" applyFill="1" applyBorder="1"/>
    <xf numFmtId="41" fontId="16" fillId="10" borderId="1" xfId="3" applyNumberFormat="1" applyFont="1" applyFill="1" applyBorder="1"/>
    <xf numFmtId="41" fontId="25" fillId="10" borderId="1" xfId="3" applyNumberFormat="1" applyFont="1" applyFill="1" applyBorder="1"/>
    <xf numFmtId="164" fontId="9" fillId="10" borderId="0" xfId="0" applyNumberFormat="1" applyFont="1" applyFill="1" applyBorder="1" applyAlignment="1">
      <alignment horizontal="center" wrapText="1"/>
    </xf>
    <xf numFmtId="164" fontId="9" fillId="7" borderId="0" xfId="0" applyNumberFormat="1" applyFont="1" applyFill="1" applyBorder="1" applyAlignment="1">
      <alignment horizontal="center" wrapText="1"/>
    </xf>
    <xf numFmtId="41" fontId="16" fillId="7" borderId="1" xfId="3" applyNumberFormat="1" applyFont="1" applyFill="1" applyBorder="1"/>
    <xf numFmtId="41" fontId="25" fillId="7" borderId="1" xfId="3" applyNumberFormat="1" applyFont="1" applyFill="1" applyBorder="1"/>
    <xf numFmtId="41" fontId="2" fillId="9" borderId="0" xfId="3" applyNumberFormat="1" applyFont="1" applyFill="1" applyBorder="1" applyAlignment="1">
      <alignment horizontal="center" wrapText="1"/>
    </xf>
    <xf numFmtId="0" fontId="22" fillId="11" borderId="1" xfId="0" applyFont="1" applyFill="1" applyBorder="1"/>
    <xf numFmtId="0" fontId="23" fillId="11" borderId="1" xfId="0" applyFont="1" applyFill="1" applyBorder="1" applyAlignment="1">
      <alignment horizontal="center"/>
    </xf>
    <xf numFmtId="0" fontId="23" fillId="11" borderId="1" xfId="0" applyFont="1" applyFill="1" applyBorder="1" applyAlignment="1"/>
    <xf numFmtId="0" fontId="23" fillId="11" borderId="1" xfId="0" applyFont="1" applyFill="1" applyBorder="1" applyAlignment="1">
      <alignment horizontal="right"/>
    </xf>
    <xf numFmtId="37" fontId="4" fillId="11" borderId="1" xfId="0" applyNumberFormat="1" applyFont="1" applyFill="1" applyBorder="1"/>
    <xf numFmtId="0" fontId="24" fillId="11" borderId="1" xfId="0" applyFont="1" applyFill="1" applyBorder="1" applyAlignment="1"/>
    <xf numFmtId="0" fontId="22" fillId="11" borderId="1" xfId="0" applyFont="1" applyFill="1" applyBorder="1" applyAlignment="1">
      <alignment horizontal="center"/>
    </xf>
    <xf numFmtId="0" fontId="18" fillId="7" borderId="0" xfId="0" applyFont="1" applyFill="1" applyBorder="1" applyAlignment="1"/>
    <xf numFmtId="0" fontId="18" fillId="5" borderId="0" xfId="0" applyFont="1" applyFill="1" applyBorder="1" applyAlignment="1"/>
    <xf numFmtId="41" fontId="16" fillId="3" borderId="1" xfId="0" applyNumberFormat="1" applyFont="1" applyFill="1" applyBorder="1"/>
    <xf numFmtId="41" fontId="15" fillId="3" borderId="1" xfId="0" applyNumberFormat="1" applyFont="1" applyFill="1" applyBorder="1" applyAlignment="1"/>
    <xf numFmtId="41" fontId="16" fillId="3" borderId="1" xfId="3" applyNumberFormat="1" applyFont="1" applyFill="1" applyBorder="1"/>
    <xf numFmtId="41" fontId="25" fillId="3" borderId="1" xfId="3" applyNumberFormat="1" applyFont="1" applyFill="1" applyBorder="1"/>
    <xf numFmtId="41" fontId="16" fillId="12" borderId="1" xfId="0" applyNumberFormat="1" applyFont="1" applyFill="1" applyBorder="1"/>
    <xf numFmtId="41" fontId="15" fillId="12" borderId="1" xfId="0" applyNumberFormat="1" applyFont="1" applyFill="1" applyBorder="1" applyAlignment="1"/>
    <xf numFmtId="41" fontId="16" fillId="12" borderId="1" xfId="3" applyNumberFormat="1" applyFont="1" applyFill="1" applyBorder="1"/>
    <xf numFmtId="166" fontId="15" fillId="7" borderId="0" xfId="4" applyNumberFormat="1" applyFont="1" applyFill="1" applyBorder="1" applyAlignment="1">
      <alignment horizontal="center"/>
    </xf>
    <xf numFmtId="166" fontId="15" fillId="5" borderId="0" xfId="4" applyNumberFormat="1" applyFont="1" applyFill="1" applyBorder="1" applyAlignment="1">
      <alignment horizontal="center"/>
    </xf>
    <xf numFmtId="166" fontId="15" fillId="4" borderId="0" xfId="4" applyNumberFormat="1" applyFont="1" applyFill="1" applyBorder="1" applyAlignment="1">
      <alignment horizontal="center"/>
    </xf>
    <xf numFmtId="166" fontId="15" fillId="6" borderId="0" xfId="4" applyNumberFormat="1" applyFont="1" applyFill="1" applyBorder="1" applyAlignment="1">
      <alignment horizontal="center"/>
    </xf>
    <xf numFmtId="166" fontId="14" fillId="0" borderId="1" xfId="4" applyNumberFormat="1" applyFont="1" applyFill="1" applyBorder="1" applyAlignment="1">
      <alignment horizontal="center"/>
    </xf>
    <xf numFmtId="41" fontId="5" fillId="13" borderId="1" xfId="0" applyNumberFormat="1" applyFont="1" applyFill="1" applyBorder="1" applyAlignment="1"/>
    <xf numFmtId="41" fontId="26" fillId="3" borderId="1" xfId="2" applyNumberFormat="1" applyFont="1" applyFill="1" applyBorder="1"/>
    <xf numFmtId="41" fontId="5" fillId="13" borderId="1" xfId="1" applyNumberFormat="1" applyFont="1" applyFill="1" applyBorder="1" applyAlignment="1"/>
    <xf numFmtId="0" fontId="22" fillId="0" borderId="5" xfId="0" applyFont="1" applyBorder="1"/>
    <xf numFmtId="0" fontId="22" fillId="0" borderId="5" xfId="0" applyFont="1" applyBorder="1" applyAlignment="1">
      <alignment horizontal="left"/>
    </xf>
    <xf numFmtId="0" fontId="18" fillId="14" borderId="0" xfId="0" applyFont="1" applyFill="1" applyBorder="1" applyAlignment="1"/>
    <xf numFmtId="41" fontId="21" fillId="14" borderId="0" xfId="0" applyNumberFormat="1" applyFont="1" applyFill="1" applyBorder="1" applyAlignment="1">
      <alignment horizontal="right"/>
    </xf>
    <xf numFmtId="41" fontId="15" fillId="14" borderId="0" xfId="0" applyNumberFormat="1" applyFont="1" applyFill="1" applyBorder="1" applyAlignment="1"/>
    <xf numFmtId="166" fontId="15" fillId="14" borderId="0" xfId="4" applyNumberFormat="1" applyFont="1" applyFill="1" applyBorder="1" applyAlignment="1">
      <alignment horizontal="center"/>
    </xf>
    <xf numFmtId="0" fontId="0" fillId="0" borderId="0" xfId="0" applyFont="1" applyBorder="1"/>
    <xf numFmtId="0" fontId="0" fillId="0" borderId="0" xfId="0" applyFont="1" applyBorder="1" applyAlignment="1">
      <alignment horizontal="center"/>
    </xf>
    <xf numFmtId="41" fontId="27" fillId="3" borderId="1" xfId="2" applyNumberFormat="1" applyFont="1" applyFill="1" applyBorder="1"/>
    <xf numFmtId="0" fontId="0" fillId="0" borderId="1" xfId="0" applyFont="1" applyBorder="1" applyAlignment="1">
      <alignment horizontal="center"/>
    </xf>
    <xf numFmtId="41" fontId="27" fillId="0" borderId="1" xfId="2" applyNumberFormat="1" applyFont="1" applyBorder="1"/>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ont="1" applyAlignment="1">
      <alignment horizontal="center"/>
    </xf>
    <xf numFmtId="164" fontId="0" fillId="0" borderId="0" xfId="0" applyNumberFormat="1" applyFont="1"/>
    <xf numFmtId="0" fontId="0" fillId="0" borderId="0" xfId="0" applyFont="1" applyAlignment="1"/>
    <xf numFmtId="0" fontId="0" fillId="0" borderId="1" xfId="0" applyFont="1" applyBorder="1" applyAlignment="1">
      <alignment horizontal="center" wrapText="1"/>
    </xf>
    <xf numFmtId="41" fontId="28" fillId="2" borderId="1" xfId="0" applyNumberFormat="1" applyFont="1" applyFill="1" applyBorder="1"/>
    <xf numFmtId="41" fontId="27" fillId="2" borderId="1" xfId="2" applyNumberFormat="1" applyFont="1" applyFill="1" applyBorder="1"/>
    <xf numFmtId="41" fontId="0" fillId="3" borderId="1" xfId="0" applyNumberFormat="1" applyFont="1" applyFill="1" applyBorder="1"/>
    <xf numFmtId="0" fontId="0" fillId="0" borderId="1" xfId="0" applyFont="1" applyBorder="1" applyAlignment="1"/>
    <xf numFmtId="0" fontId="0" fillId="0" borderId="0" xfId="0" applyFont="1" applyFill="1" applyBorder="1"/>
    <xf numFmtId="41" fontId="0" fillId="3" borderId="1" xfId="0" applyNumberFormat="1" applyFont="1"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41" fontId="29" fillId="3" borderId="1" xfId="2" applyNumberFormat="1" applyFont="1" applyFill="1" applyBorder="1"/>
    <xf numFmtId="41" fontId="0" fillId="0" borderId="0" xfId="0" applyNumberFormat="1" applyFont="1" applyBorder="1"/>
    <xf numFmtId="0" fontId="0" fillId="0" borderId="0" xfId="0" applyFont="1" applyBorder="1" applyAlignment="1"/>
    <xf numFmtId="41" fontId="28" fillId="3" borderId="1" xfId="0" applyNumberFormat="1" applyFont="1" applyFill="1" applyBorder="1"/>
    <xf numFmtId="0" fontId="0" fillId="2" borderId="1" xfId="0" applyFont="1" applyFill="1" applyBorder="1" applyAlignment="1">
      <alignment wrapText="1"/>
    </xf>
    <xf numFmtId="0" fontId="0" fillId="3" borderId="1" xfId="0" applyFont="1" applyFill="1" applyBorder="1" applyAlignment="1">
      <alignment horizontal="left"/>
    </xf>
    <xf numFmtId="0" fontId="0" fillId="3" borderId="1" xfId="0" applyFont="1" applyFill="1" applyBorder="1" applyAlignment="1">
      <alignment horizontal="left" wrapText="1"/>
    </xf>
    <xf numFmtId="41" fontId="30" fillId="0" borderId="0" xfId="0" applyNumberFormat="1" applyFont="1" applyFill="1" applyBorder="1"/>
    <xf numFmtId="0" fontId="0" fillId="3" borderId="0" xfId="0" applyFont="1" applyFill="1" applyBorder="1" applyAlignment="1">
      <alignment horizontal="center"/>
    </xf>
    <xf numFmtId="41" fontId="27" fillId="3" borderId="0" xfId="2" applyNumberFormat="1" applyFont="1" applyFill="1" applyBorder="1"/>
    <xf numFmtId="43" fontId="0" fillId="0" borderId="0" xfId="0" applyNumberFormat="1" applyFont="1" applyBorder="1"/>
    <xf numFmtId="0" fontId="0" fillId="12" borderId="1" xfId="0" applyFont="1" applyFill="1" applyBorder="1" applyAlignment="1"/>
    <xf numFmtId="0" fontId="0" fillId="3" borderId="1"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xf numFmtId="0" fontId="0" fillId="11" borderId="1" xfId="0" applyFont="1" applyFill="1" applyBorder="1"/>
    <xf numFmtId="0" fontId="0" fillId="0" borderId="0" xfId="0" applyFont="1" applyBorder="1" applyAlignment="1">
      <alignment horizontal="left"/>
    </xf>
    <xf numFmtId="0" fontId="0" fillId="0" borderId="0" xfId="0" applyFont="1" applyAlignment="1">
      <alignment horizontal="left"/>
    </xf>
    <xf numFmtId="41" fontId="0" fillId="3" borderId="1" xfId="0" applyNumberFormat="1" applyFont="1" applyFill="1" applyBorder="1" applyAlignment="1">
      <alignment horizontal="left"/>
    </xf>
    <xf numFmtId="0" fontId="16" fillId="2" borderId="0" xfId="0" applyFont="1" applyFill="1" applyBorder="1" applyAlignment="1">
      <alignment horizontal="left"/>
    </xf>
    <xf numFmtId="0" fontId="16" fillId="5" borderId="0" xfId="0" applyFont="1" applyFill="1" applyBorder="1" applyAlignment="1">
      <alignment horizontal="left"/>
    </xf>
    <xf numFmtId="0" fontId="15" fillId="4" borderId="0" xfId="0" applyFont="1" applyFill="1" applyBorder="1" applyAlignment="1">
      <alignment horizontal="left"/>
    </xf>
    <xf numFmtId="38" fontId="20" fillId="4" borderId="0" xfId="0" applyNumberFormat="1" applyFont="1" applyFill="1" applyBorder="1" applyAlignment="1">
      <alignment horizontal="left"/>
    </xf>
    <xf numFmtId="0" fontId="16" fillId="6" borderId="0" xfId="0" applyFont="1" applyFill="1" applyBorder="1" applyAlignment="1">
      <alignment horizontal="left"/>
    </xf>
    <xf numFmtId="0" fontId="2" fillId="0" borderId="0" xfId="0" applyFont="1" applyFill="1" applyBorder="1" applyAlignment="1">
      <alignment horizontal="left"/>
    </xf>
    <xf numFmtId="0" fontId="10" fillId="0" borderId="0" xfId="0" applyFont="1" applyBorder="1" applyAlignment="1">
      <alignment horizontal="left"/>
    </xf>
    <xf numFmtId="0" fontId="0" fillId="3" borderId="0" xfId="0" applyFont="1" applyFill="1" applyBorder="1" applyAlignment="1">
      <alignment horizontal="left"/>
    </xf>
    <xf numFmtId="0" fontId="16" fillId="14" borderId="0" xfId="0" applyFont="1" applyFill="1" applyBorder="1" applyAlignment="1">
      <alignment horizontal="left"/>
    </xf>
    <xf numFmtId="0" fontId="14" fillId="0" borderId="1" xfId="0" applyFont="1" applyFill="1" applyBorder="1" applyAlignment="1">
      <alignment horizontal="left"/>
    </xf>
    <xf numFmtId="0" fontId="2" fillId="2" borderId="0" xfId="0" applyFont="1" applyFill="1" applyBorder="1" applyAlignment="1">
      <alignment horizontal="left"/>
    </xf>
    <xf numFmtId="0" fontId="16" fillId="12" borderId="1" xfId="0" applyFont="1" applyFill="1" applyBorder="1" applyAlignment="1">
      <alignment horizontal="left"/>
    </xf>
    <xf numFmtId="0" fontId="16" fillId="3" borderId="1" xfId="0" applyFont="1" applyFill="1" applyBorder="1" applyAlignment="1">
      <alignment horizontal="left"/>
    </xf>
    <xf numFmtId="0" fontId="16" fillId="0" borderId="0" xfId="0" applyFont="1" applyFill="1" applyBorder="1" applyAlignment="1">
      <alignment horizontal="left"/>
    </xf>
    <xf numFmtId="0" fontId="24" fillId="11" borderId="1" xfId="0" applyFont="1" applyFill="1" applyBorder="1" applyAlignment="1">
      <alignment horizontal="left"/>
    </xf>
    <xf numFmtId="0" fontId="23" fillId="11" borderId="1" xfId="0" applyFont="1" applyFill="1" applyBorder="1" applyAlignment="1">
      <alignment horizontal="left"/>
    </xf>
    <xf numFmtId="164" fontId="9" fillId="2" borderId="0" xfId="0" applyNumberFormat="1" applyFont="1" applyFill="1" applyBorder="1" applyAlignment="1">
      <alignment horizontal="left" wrapText="1"/>
    </xf>
    <xf numFmtId="41" fontId="20" fillId="7" borderId="0" xfId="0" applyNumberFormat="1" applyFont="1" applyFill="1" applyBorder="1" applyAlignment="1">
      <alignment horizontal="left"/>
    </xf>
    <xf numFmtId="41" fontId="5" fillId="3" borderId="1" xfId="0" applyNumberFormat="1" applyFont="1" applyFill="1" applyBorder="1" applyAlignment="1">
      <alignment horizontal="left" wrapText="1"/>
    </xf>
    <xf numFmtId="0" fontId="0" fillId="0" borderId="1" xfId="0" applyFont="1" applyBorder="1" applyAlignment="1">
      <alignment horizontal="left" wrapText="1"/>
    </xf>
    <xf numFmtId="9" fontId="15" fillId="2" borderId="0" xfId="4" applyFont="1" applyFill="1" applyBorder="1" applyAlignment="1">
      <alignment horizontal="left"/>
    </xf>
    <xf numFmtId="9" fontId="15" fillId="7" borderId="0" xfId="4" applyFont="1" applyFill="1" applyBorder="1" applyAlignment="1">
      <alignment horizontal="left"/>
    </xf>
    <xf numFmtId="0" fontId="22" fillId="0" borderId="1" xfId="0" applyFont="1" applyBorder="1" applyAlignment="1">
      <alignment horizontal="left" wrapText="1"/>
    </xf>
    <xf numFmtId="0" fontId="22" fillId="8" borderId="1" xfId="0" applyFont="1" applyFill="1" applyBorder="1" applyAlignment="1">
      <alignment horizontal="left" wrapText="1"/>
    </xf>
    <xf numFmtId="41" fontId="5" fillId="2" borderId="1" xfId="0" applyNumberFormat="1" applyFont="1" applyFill="1" applyBorder="1" applyAlignment="1">
      <alignment horizontal="left" wrapText="1"/>
    </xf>
    <xf numFmtId="41" fontId="0" fillId="0" borderId="0" xfId="0" applyNumberFormat="1" applyFont="1" applyBorder="1" applyAlignment="1">
      <alignment horizontal="left"/>
    </xf>
    <xf numFmtId="41" fontId="27" fillId="3" borderId="1" xfId="2" applyNumberFormat="1" applyFont="1" applyFill="1" applyBorder="1" applyAlignment="1">
      <alignment horizontal="left"/>
    </xf>
    <xf numFmtId="41" fontId="20" fillId="6" borderId="0" xfId="0" applyNumberFormat="1" applyFont="1" applyFill="1" applyBorder="1" applyAlignment="1">
      <alignment horizontal="left"/>
    </xf>
    <xf numFmtId="41" fontId="5" fillId="0" borderId="1" xfId="0" applyNumberFormat="1" applyFont="1" applyFill="1" applyBorder="1" applyAlignment="1">
      <alignment horizontal="left" vertical="center" wrapText="1"/>
    </xf>
    <xf numFmtId="0" fontId="0" fillId="12" borderId="1" xfId="0" applyFont="1" applyFill="1" applyBorder="1" applyAlignment="1">
      <alignment horizontal="left"/>
    </xf>
    <xf numFmtId="0" fontId="0" fillId="12" borderId="1"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3" fontId="4" fillId="0" borderId="0" xfId="0" applyNumberFormat="1" applyFont="1" applyAlignment="1">
      <alignment horizontal="left" vertical="center"/>
    </xf>
    <xf numFmtId="41" fontId="0" fillId="0" borderId="0" xfId="0" applyNumberFormat="1" applyFont="1" applyBorder="1" applyAlignment="1"/>
    <xf numFmtId="0" fontId="18" fillId="7" borderId="0" xfId="0" applyFont="1" applyFill="1" applyBorder="1" applyAlignment="1">
      <alignment horizontal="left"/>
    </xf>
    <xf numFmtId="0" fontId="18" fillId="14" borderId="0" xfId="0" applyFont="1" applyFill="1" applyBorder="1" applyAlignment="1">
      <alignment horizontal="left"/>
    </xf>
    <xf numFmtId="0" fontId="18" fillId="5" borderId="0" xfId="0" applyFont="1" applyFill="1" applyBorder="1" applyAlignment="1">
      <alignment horizontal="left"/>
    </xf>
    <xf numFmtId="0" fontId="0" fillId="0" borderId="1" xfId="0" applyFont="1" applyBorder="1" applyAlignment="1">
      <alignment horizontal="left"/>
    </xf>
    <xf numFmtId="165" fontId="0" fillId="3" borderId="1" xfId="3" applyNumberFormat="1" applyFont="1" applyFill="1" applyBorder="1" applyAlignment="1">
      <alignment horizontal="right"/>
    </xf>
    <xf numFmtId="0" fontId="16" fillId="12" borderId="3" xfId="0" applyFont="1" applyFill="1" applyBorder="1" applyAlignment="1">
      <alignment horizontal="center" vertical="center" textRotation="90"/>
    </xf>
    <xf numFmtId="0" fontId="16" fillId="12" borderId="4" xfId="0" applyFont="1" applyFill="1" applyBorder="1" applyAlignment="1">
      <alignment horizontal="center" vertical="center" textRotation="90"/>
    </xf>
    <xf numFmtId="0" fontId="16" fillId="12" borderId="2" xfId="0" applyFont="1" applyFill="1" applyBorder="1" applyAlignment="1">
      <alignment horizontal="center" vertical="center" textRotation="90"/>
    </xf>
    <xf numFmtId="0" fontId="0" fillId="11" borderId="1" xfId="0" applyFont="1" applyFill="1" applyBorder="1" applyAlignment="1">
      <alignment horizontal="left"/>
    </xf>
    <xf numFmtId="0" fontId="0" fillId="0" borderId="1" xfId="0" applyFont="1" applyBorder="1" applyAlignment="1">
      <alignment horizontal="left"/>
    </xf>
    <xf numFmtId="0" fontId="4" fillId="11" borderId="1" xfId="0" applyFont="1" applyFill="1" applyBorder="1" applyAlignment="1">
      <alignment horizontal="left"/>
    </xf>
    <xf numFmtId="0" fontId="18" fillId="14" borderId="0" xfId="0" applyFont="1" applyFill="1" applyBorder="1" applyAlignment="1">
      <alignment horizontal="left"/>
    </xf>
    <xf numFmtId="0" fontId="18" fillId="6" borderId="0" xfId="0" applyFont="1" applyFill="1" applyBorder="1" applyAlignment="1">
      <alignment horizontal="left"/>
    </xf>
    <xf numFmtId="0" fontId="18" fillId="4" borderId="0" xfId="0" applyFont="1" applyFill="1" applyBorder="1" applyAlignment="1">
      <alignment horizontal="left"/>
    </xf>
    <xf numFmtId="0" fontId="18" fillId="5" borderId="0" xfId="0" applyFont="1" applyFill="1" applyBorder="1" applyAlignment="1">
      <alignment horizontal="left"/>
    </xf>
    <xf numFmtId="0" fontId="18" fillId="7" borderId="0" xfId="0" applyFont="1" applyFill="1" applyBorder="1" applyAlignment="1">
      <alignment horizontal="left"/>
    </xf>
  </cellXfs>
  <cellStyles count="5">
    <cellStyle name="Comma" xfId="3" builtinId="3"/>
    <cellStyle name="Currency" xfId="1" builtinId="4"/>
    <cellStyle name="Normal" xfId="0" builtinId="0"/>
    <cellStyle name="Normal_FY'99 AS Monthly Summary" xfId="2" xr:uid="{00000000-0005-0000-0000-000003000000}"/>
    <cellStyle name="Percent" xfId="4" builtinId="5"/>
  </cellStyles>
  <dxfs count="0"/>
  <tableStyles count="0" defaultTableStyle="TableStyleMedium2" defaultPivotStyle="PivotStyleLight16"/>
  <colors>
    <mruColors>
      <color rgb="FFCCCCFF"/>
      <color rgb="FFFFC489"/>
      <color rgb="FFFFB5A3"/>
      <color rgb="FFFF9981"/>
      <color rgb="FFFF9147"/>
      <color rgb="FFE7E200"/>
      <color rgb="FFFFFF9F"/>
      <color rgb="FFFFFF66"/>
      <color rgb="FFDCCBC6"/>
      <color rgb="FFD0BB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0"/>
  <sheetViews>
    <sheetView tabSelected="1" zoomScale="90" zoomScaleNormal="90" workbookViewId="0">
      <pane xSplit="3" ySplit="1" topLeftCell="K2" activePane="bottomRight" state="frozen"/>
      <selection pane="topRight" activeCell="D1" sqref="D1"/>
      <selection pane="bottomLeft" activeCell="A3" sqref="A3"/>
      <selection pane="bottomRight" activeCell="R81" sqref="R81"/>
    </sheetView>
  </sheetViews>
  <sheetFormatPr defaultColWidth="9" defaultRowHeight="14.25"/>
  <cols>
    <col min="1" max="1" width="3.86328125" style="125" hidden="1" customWidth="1"/>
    <col min="2" max="2" width="15.59765625" style="132" customWidth="1"/>
    <col min="3" max="3" width="52.73046875" style="161" customWidth="1"/>
    <col min="4" max="5" width="13.86328125" style="133" hidden="1" customWidth="1"/>
    <col min="6" max="6" width="14.1328125" style="2" hidden="1" customWidth="1"/>
    <col min="7" max="7" width="14.3984375" style="2" hidden="1" customWidth="1"/>
    <col min="8" max="8" width="14" style="33" hidden="1" customWidth="1"/>
    <col min="9" max="10" width="14.73046875" style="33" hidden="1" customWidth="1"/>
    <col min="11" max="11" width="14.86328125" style="33" customWidth="1"/>
    <col min="12" max="12" width="14.86328125" style="33" hidden="1" customWidth="1"/>
    <col min="13" max="13" width="15" style="33" customWidth="1"/>
    <col min="14" max="16" width="14.86328125" style="33" customWidth="1"/>
    <col min="17" max="17" width="27.73046875" style="161" customWidth="1"/>
    <col min="18" max="18" width="91" style="134" customWidth="1"/>
    <col min="19" max="16384" width="9" style="33"/>
  </cols>
  <sheetData>
    <row r="1" spans="1:18" ht="30" customHeight="1">
      <c r="B1" s="126"/>
      <c r="C1" s="160"/>
      <c r="D1" s="17" t="s">
        <v>0</v>
      </c>
      <c r="E1" s="17" t="s">
        <v>1</v>
      </c>
      <c r="F1" s="17" t="s">
        <v>2</v>
      </c>
      <c r="G1" s="17" t="s">
        <v>3</v>
      </c>
      <c r="H1" s="18" t="s">
        <v>4</v>
      </c>
      <c r="I1" s="18" t="s">
        <v>5</v>
      </c>
      <c r="J1" s="19" t="s">
        <v>6</v>
      </c>
      <c r="K1" s="36" t="s">
        <v>7</v>
      </c>
      <c r="L1" s="37" t="s">
        <v>8</v>
      </c>
      <c r="M1" s="37" t="s">
        <v>9</v>
      </c>
      <c r="N1" s="94" t="s">
        <v>10</v>
      </c>
      <c r="O1" s="91" t="s">
        <v>11</v>
      </c>
      <c r="P1" s="90" t="s">
        <v>12</v>
      </c>
      <c r="Q1" s="179" t="s">
        <v>13</v>
      </c>
      <c r="R1" s="38" t="s">
        <v>14</v>
      </c>
    </row>
    <row r="2" spans="1:18" ht="16.899999999999999">
      <c r="B2" s="213" t="s">
        <v>15</v>
      </c>
      <c r="C2" s="213"/>
      <c r="D2" s="56"/>
      <c r="E2" s="56"/>
      <c r="F2" s="57"/>
      <c r="G2" s="57"/>
      <c r="H2" s="57"/>
      <c r="I2" s="57"/>
      <c r="J2" s="57"/>
      <c r="K2" s="57"/>
      <c r="L2" s="57"/>
      <c r="M2" s="57"/>
      <c r="N2" s="57"/>
      <c r="O2" s="57"/>
      <c r="P2" s="57"/>
      <c r="Q2" s="180"/>
      <c r="R2" s="58" t="s">
        <v>16</v>
      </c>
    </row>
    <row r="3" spans="1:18" ht="44.45" customHeight="1">
      <c r="A3" s="125">
        <v>46</v>
      </c>
      <c r="B3" s="27" t="s">
        <v>17</v>
      </c>
      <c r="C3" s="149" t="s">
        <v>18</v>
      </c>
      <c r="D3" s="127">
        <v>7665</v>
      </c>
      <c r="E3" s="127">
        <v>8028</v>
      </c>
      <c r="F3" s="3">
        <v>20373</v>
      </c>
      <c r="G3" s="3">
        <v>21203</v>
      </c>
      <c r="H3" s="3">
        <v>29469</v>
      </c>
      <c r="I3" s="3">
        <v>56123</v>
      </c>
      <c r="J3" s="3">
        <f>57967+150</f>
        <v>58117</v>
      </c>
      <c r="K3" s="3">
        <v>65783</v>
      </c>
      <c r="L3" s="3">
        <v>66248</v>
      </c>
      <c r="M3" s="3">
        <v>66849</v>
      </c>
      <c r="N3" s="116">
        <v>65752.7737375</v>
      </c>
      <c r="O3" s="3"/>
      <c r="P3" s="3"/>
      <c r="Q3" s="181" t="s">
        <v>19</v>
      </c>
      <c r="R3" s="30" t="s">
        <v>20</v>
      </c>
    </row>
    <row r="4" spans="1:18" ht="44.25" customHeight="1">
      <c r="A4" s="125">
        <v>48</v>
      </c>
      <c r="B4" s="128" t="s">
        <v>21</v>
      </c>
      <c r="C4" s="201" t="s">
        <v>22</v>
      </c>
      <c r="D4" s="129">
        <v>5000</v>
      </c>
      <c r="E4" s="129">
        <v>2000</v>
      </c>
      <c r="F4" s="4">
        <v>2000</v>
      </c>
      <c r="G4" s="7">
        <v>1500</v>
      </c>
      <c r="H4" s="7">
        <v>1200</v>
      </c>
      <c r="I4" s="7">
        <v>1200</v>
      </c>
      <c r="J4" s="7">
        <v>1200</v>
      </c>
      <c r="K4" s="7">
        <v>1200</v>
      </c>
      <c r="L4" s="7">
        <v>1200</v>
      </c>
      <c r="M4" s="7">
        <v>1200</v>
      </c>
      <c r="N4" s="116">
        <v>1000</v>
      </c>
      <c r="O4" s="7"/>
      <c r="P4" s="7"/>
      <c r="Q4" s="201"/>
      <c r="R4" s="130" t="s">
        <v>23</v>
      </c>
    </row>
    <row r="5" spans="1:18" ht="28.5">
      <c r="A5" s="125">
        <v>49</v>
      </c>
      <c r="B5" s="27" t="s">
        <v>24</v>
      </c>
      <c r="C5" s="149" t="s">
        <v>25</v>
      </c>
      <c r="D5" s="127">
        <v>1000</v>
      </c>
      <c r="E5" s="127">
        <v>1000</v>
      </c>
      <c r="F5" s="3">
        <v>10000</v>
      </c>
      <c r="G5" s="3">
        <v>14000</v>
      </c>
      <c r="H5" s="3">
        <v>14000</v>
      </c>
      <c r="I5" s="3">
        <v>14000</v>
      </c>
      <c r="J5" s="3">
        <v>14000</v>
      </c>
      <c r="K5" s="3">
        <v>12000</v>
      </c>
      <c r="L5" s="3">
        <v>12000</v>
      </c>
      <c r="M5" s="3">
        <v>12000</v>
      </c>
      <c r="N5" s="3">
        <v>12000</v>
      </c>
      <c r="O5" s="3"/>
      <c r="P5" s="3"/>
      <c r="Q5" s="150"/>
      <c r="R5" s="30" t="s">
        <v>26</v>
      </c>
    </row>
    <row r="6" spans="1:18" ht="42.75">
      <c r="A6" s="125">
        <v>50</v>
      </c>
      <c r="B6" s="128" t="s">
        <v>27</v>
      </c>
      <c r="C6" s="201" t="s">
        <v>28</v>
      </c>
      <c r="D6" s="129">
        <v>5157</v>
      </c>
      <c r="E6" s="129">
        <v>2570</v>
      </c>
      <c r="F6" s="4">
        <v>4250</v>
      </c>
      <c r="G6" s="7">
        <v>4000</v>
      </c>
      <c r="H6" s="7">
        <v>3500</v>
      </c>
      <c r="I6" s="7">
        <v>3385</v>
      </c>
      <c r="J6" s="7">
        <v>2635</v>
      </c>
      <c r="K6" s="7">
        <v>2635</v>
      </c>
      <c r="L6" s="7">
        <v>2570</v>
      </c>
      <c r="M6" s="7">
        <v>2570</v>
      </c>
      <c r="N6" s="7">
        <v>2570</v>
      </c>
      <c r="O6" s="7"/>
      <c r="P6" s="7"/>
      <c r="Q6" s="201"/>
      <c r="R6" s="131" t="s">
        <v>29</v>
      </c>
    </row>
    <row r="7" spans="1:18" ht="42.75">
      <c r="A7" s="125">
        <v>51</v>
      </c>
      <c r="B7" s="27" t="s">
        <v>30</v>
      </c>
      <c r="C7" s="149" t="s">
        <v>31</v>
      </c>
      <c r="D7" s="127"/>
      <c r="E7" s="127"/>
      <c r="F7" s="3">
        <v>0</v>
      </c>
      <c r="G7" s="3">
        <v>0</v>
      </c>
      <c r="H7" s="3">
        <v>0</v>
      </c>
      <c r="I7" s="3">
        <v>0</v>
      </c>
      <c r="J7" s="3">
        <v>0</v>
      </c>
      <c r="K7" s="3">
        <v>0</v>
      </c>
      <c r="L7" s="3">
        <v>0</v>
      </c>
      <c r="M7" s="3">
        <v>0</v>
      </c>
      <c r="N7" s="3">
        <v>0</v>
      </c>
      <c r="O7" s="3"/>
      <c r="P7" s="3"/>
      <c r="Q7" s="150" t="s">
        <v>32</v>
      </c>
      <c r="R7" s="30" t="s">
        <v>33</v>
      </c>
    </row>
    <row r="8" spans="1:18" ht="43.15" customHeight="1">
      <c r="A8" s="125">
        <v>47</v>
      </c>
      <c r="B8" s="128" t="s">
        <v>34</v>
      </c>
      <c r="C8" s="201" t="s">
        <v>35</v>
      </c>
      <c r="D8" s="129">
        <v>33000</v>
      </c>
      <c r="E8" s="129">
        <v>33000</v>
      </c>
      <c r="F8" s="4">
        <v>33000</v>
      </c>
      <c r="G8" s="7">
        <v>33000</v>
      </c>
      <c r="H8" s="7">
        <v>33000</v>
      </c>
      <c r="I8" s="7">
        <v>33000</v>
      </c>
      <c r="J8" s="7">
        <v>33000</v>
      </c>
      <c r="K8" s="7">
        <v>33000</v>
      </c>
      <c r="L8" s="7">
        <v>33000</v>
      </c>
      <c r="M8" s="7">
        <v>33000</v>
      </c>
      <c r="N8" s="7">
        <v>33000</v>
      </c>
      <c r="O8" s="7"/>
      <c r="P8" s="7"/>
      <c r="Q8" s="201"/>
      <c r="R8" s="131" t="s">
        <v>36</v>
      </c>
    </row>
    <row r="9" spans="1:18" ht="15.75">
      <c r="B9" s="126"/>
      <c r="C9" s="75" t="s">
        <v>37</v>
      </c>
      <c r="D9" s="60">
        <f t="shared" ref="D9:I9" si="0">SUM(D3:D8)</f>
        <v>51822</v>
      </c>
      <c r="E9" s="60">
        <f t="shared" si="0"/>
        <v>46598</v>
      </c>
      <c r="F9" s="60">
        <f t="shared" si="0"/>
        <v>69623</v>
      </c>
      <c r="G9" s="60">
        <f t="shared" si="0"/>
        <v>73703</v>
      </c>
      <c r="H9" s="60">
        <f t="shared" si="0"/>
        <v>81169</v>
      </c>
      <c r="I9" s="60">
        <f t="shared" si="0"/>
        <v>107708</v>
      </c>
      <c r="J9" s="60">
        <f>SUM(J3:J8)</f>
        <v>108952</v>
      </c>
      <c r="K9" s="60">
        <f>SUM(K3:K8)</f>
        <v>114618</v>
      </c>
      <c r="L9" s="60">
        <f>SUM(L3:L8)</f>
        <v>115018</v>
      </c>
      <c r="M9" s="60">
        <f>SUM(M3:M8)</f>
        <v>115619</v>
      </c>
      <c r="N9" s="60">
        <f t="shared" ref="N9" si="1">SUM(N3:N8)</f>
        <v>114322.7737375</v>
      </c>
      <c r="O9" s="60">
        <f>M9-(M9*0.05)</f>
        <v>109838.05</v>
      </c>
      <c r="P9" s="60">
        <f>M9-(M9*0.1)</f>
        <v>104057.1</v>
      </c>
      <c r="Q9" s="111">
        <f>N9/K9-1</f>
        <v>-2.5757408304105667E-3</v>
      </c>
      <c r="R9" s="61"/>
    </row>
    <row r="10" spans="1:18" ht="25.15" customHeight="1"/>
    <row r="11" spans="1:18" ht="16.899999999999999">
      <c r="B11" s="213" t="s">
        <v>38</v>
      </c>
      <c r="C11" s="213"/>
      <c r="D11" s="213"/>
      <c r="E11" s="213"/>
      <c r="F11" s="213"/>
      <c r="G11" s="213"/>
      <c r="H11" s="213"/>
      <c r="I11" s="213"/>
      <c r="J11" s="213"/>
      <c r="K11" s="213"/>
      <c r="L11" s="198"/>
      <c r="M11" s="102"/>
      <c r="N11" s="102"/>
      <c r="O11" s="102"/>
      <c r="P11" s="102"/>
      <c r="Q11" s="198"/>
      <c r="R11" s="58" t="s">
        <v>16</v>
      </c>
    </row>
    <row r="12" spans="1:18" ht="28.5">
      <c r="A12" s="125">
        <v>38</v>
      </c>
      <c r="B12" s="27" t="s">
        <v>39</v>
      </c>
      <c r="C12" s="149" t="s">
        <v>40</v>
      </c>
      <c r="D12" s="127">
        <v>6405</v>
      </c>
      <c r="E12" s="127">
        <v>6050</v>
      </c>
      <c r="F12" s="3">
        <v>6085</v>
      </c>
      <c r="G12" s="3">
        <v>5085</v>
      </c>
      <c r="H12" s="3">
        <v>5000</v>
      </c>
      <c r="I12" s="3">
        <v>4500</v>
      </c>
      <c r="J12" s="3">
        <v>5350</v>
      </c>
      <c r="K12" s="3">
        <v>5225</v>
      </c>
      <c r="L12" s="3">
        <v>5225</v>
      </c>
      <c r="M12" s="3">
        <v>5225</v>
      </c>
      <c r="N12" s="3">
        <v>5225</v>
      </c>
      <c r="O12" s="3"/>
      <c r="P12" s="3"/>
      <c r="Q12" s="150"/>
      <c r="R12" s="30" t="s">
        <v>41</v>
      </c>
    </row>
    <row r="13" spans="1:18" ht="42.75">
      <c r="A13" s="125">
        <v>39</v>
      </c>
      <c r="B13" s="128" t="s">
        <v>42</v>
      </c>
      <c r="C13" s="201" t="s">
        <v>43</v>
      </c>
      <c r="D13" s="129">
        <v>3400</v>
      </c>
      <c r="E13" s="129">
        <v>3500</v>
      </c>
      <c r="F13" s="4">
        <v>3450</v>
      </c>
      <c r="G13" s="7">
        <v>3450</v>
      </c>
      <c r="H13" s="7">
        <v>3450</v>
      </c>
      <c r="I13" s="7">
        <v>3600</v>
      </c>
      <c r="J13" s="7">
        <v>4000</v>
      </c>
      <c r="K13" s="7">
        <v>4020</v>
      </c>
      <c r="L13" s="7">
        <v>4020</v>
      </c>
      <c r="M13" s="7">
        <v>4020</v>
      </c>
      <c r="N13" s="7">
        <v>4020</v>
      </c>
      <c r="O13" s="7"/>
      <c r="P13" s="7"/>
      <c r="Q13" s="201"/>
      <c r="R13" s="131" t="s">
        <v>44</v>
      </c>
    </row>
    <row r="14" spans="1:18" ht="46.15" customHeight="1">
      <c r="A14" s="125">
        <v>37</v>
      </c>
      <c r="B14" s="27" t="s">
        <v>45</v>
      </c>
      <c r="C14" s="149" t="s">
        <v>46</v>
      </c>
      <c r="D14" s="127">
        <v>28861</v>
      </c>
      <c r="E14" s="127">
        <v>29043</v>
      </c>
      <c r="F14" s="3">
        <v>36281</v>
      </c>
      <c r="G14" s="3">
        <v>40572</v>
      </c>
      <c r="H14" s="3">
        <v>40472</v>
      </c>
      <c r="I14" s="3">
        <v>56679</v>
      </c>
      <c r="J14" s="3">
        <v>56473</v>
      </c>
      <c r="K14" s="3">
        <v>67143</v>
      </c>
      <c r="L14" s="3">
        <v>23700</v>
      </c>
      <c r="M14" s="3">
        <v>24040</v>
      </c>
      <c r="N14" s="116">
        <v>21467.67540525</v>
      </c>
      <c r="O14" s="3"/>
      <c r="P14" s="3"/>
      <c r="Q14" s="150" t="s">
        <v>47</v>
      </c>
      <c r="R14" s="30" t="s">
        <v>48</v>
      </c>
    </row>
    <row r="15" spans="1:18" ht="42.75">
      <c r="A15" s="125">
        <v>40</v>
      </c>
      <c r="B15" s="128" t="s">
        <v>49</v>
      </c>
      <c r="C15" s="201" t="s">
        <v>50</v>
      </c>
      <c r="D15" s="129">
        <v>2750</v>
      </c>
      <c r="E15" s="129">
        <v>2900</v>
      </c>
      <c r="F15" s="4">
        <v>3645</v>
      </c>
      <c r="G15" s="7">
        <v>3645</v>
      </c>
      <c r="H15" s="7">
        <v>3645</v>
      </c>
      <c r="I15" s="7">
        <v>3575</v>
      </c>
      <c r="J15" s="7">
        <v>3275</v>
      </c>
      <c r="K15" s="7">
        <v>3440</v>
      </c>
      <c r="L15" s="7">
        <v>47489</v>
      </c>
      <c r="M15" s="7">
        <v>47955</v>
      </c>
      <c r="N15" s="116">
        <v>47406.266495750002</v>
      </c>
      <c r="O15" s="7"/>
      <c r="P15" s="7"/>
      <c r="Q15" s="182" t="s">
        <v>51</v>
      </c>
      <c r="R15" s="131" t="s">
        <v>52</v>
      </c>
    </row>
    <row r="16" spans="1:18" ht="15.75">
      <c r="B16" s="126"/>
      <c r="C16" s="75" t="s">
        <v>53</v>
      </c>
      <c r="D16" s="60">
        <f t="shared" ref="D16:N16" si="2">SUM(D12:D15)</f>
        <v>41416</v>
      </c>
      <c r="E16" s="60">
        <f t="shared" si="2"/>
        <v>41493</v>
      </c>
      <c r="F16" s="60">
        <f t="shared" si="2"/>
        <v>49461</v>
      </c>
      <c r="G16" s="60">
        <f t="shared" si="2"/>
        <v>52752</v>
      </c>
      <c r="H16" s="60">
        <f t="shared" si="2"/>
        <v>52567</v>
      </c>
      <c r="I16" s="60">
        <f t="shared" si="2"/>
        <v>68354</v>
      </c>
      <c r="J16" s="60">
        <f t="shared" si="2"/>
        <v>69098</v>
      </c>
      <c r="K16" s="60">
        <f t="shared" si="2"/>
        <v>79828</v>
      </c>
      <c r="L16" s="60">
        <f t="shared" si="2"/>
        <v>80434</v>
      </c>
      <c r="M16" s="60">
        <f t="shared" si="2"/>
        <v>81240</v>
      </c>
      <c r="N16" s="60">
        <f t="shared" si="2"/>
        <v>78118.941900999998</v>
      </c>
      <c r="O16" s="60">
        <f>M16-(M16*0.05)</f>
        <v>77178</v>
      </c>
      <c r="P16" s="60">
        <f>M16-(M16*0.1)</f>
        <v>73116</v>
      </c>
      <c r="Q16" s="111">
        <f>N16/K16-1</f>
        <v>-2.1409256138197108E-2</v>
      </c>
      <c r="R16" s="61"/>
    </row>
    <row r="17" spans="1:18" ht="25.9" customHeight="1"/>
    <row r="18" spans="1:18" ht="16.899999999999999">
      <c r="B18" s="213" t="s">
        <v>54</v>
      </c>
      <c r="C18" s="213"/>
      <c r="D18" s="213"/>
      <c r="E18" s="213"/>
      <c r="F18" s="213"/>
      <c r="G18" s="213"/>
      <c r="H18" s="213"/>
      <c r="I18" s="213"/>
      <c r="J18" s="213"/>
      <c r="K18" s="213"/>
      <c r="L18" s="198"/>
      <c r="M18" s="102"/>
      <c r="N18" s="102"/>
      <c r="O18" s="102"/>
      <c r="P18" s="102"/>
      <c r="Q18" s="198"/>
      <c r="R18" s="58" t="s">
        <v>16</v>
      </c>
    </row>
    <row r="19" spans="1:18" ht="48.75" customHeight="1">
      <c r="B19" s="27" t="s">
        <v>55</v>
      </c>
      <c r="C19" s="149" t="s">
        <v>56</v>
      </c>
      <c r="D19" s="127">
        <v>700</v>
      </c>
      <c r="E19" s="127">
        <v>700</v>
      </c>
      <c r="F19" s="3">
        <v>800</v>
      </c>
      <c r="G19" s="3">
        <v>800</v>
      </c>
      <c r="H19" s="3">
        <v>800</v>
      </c>
      <c r="I19" s="3">
        <v>800</v>
      </c>
      <c r="J19" s="3">
        <v>800</v>
      </c>
      <c r="K19" s="3">
        <v>800</v>
      </c>
      <c r="L19" s="3">
        <v>800</v>
      </c>
      <c r="M19" s="3">
        <v>800</v>
      </c>
      <c r="N19" s="3">
        <v>800</v>
      </c>
      <c r="O19" s="3"/>
      <c r="P19" s="3"/>
      <c r="Q19" s="181"/>
      <c r="R19" s="30" t="s">
        <v>57</v>
      </c>
    </row>
    <row r="20" spans="1:18" ht="57">
      <c r="B20" s="128" t="s">
        <v>58</v>
      </c>
      <c r="C20" s="201" t="s">
        <v>59</v>
      </c>
      <c r="D20" s="129">
        <v>20267</v>
      </c>
      <c r="E20" s="129">
        <v>25345</v>
      </c>
      <c r="F20" s="4">
        <v>29673</v>
      </c>
      <c r="G20" s="7">
        <v>29773</v>
      </c>
      <c r="H20" s="7">
        <v>29789</v>
      </c>
      <c r="I20" s="7">
        <v>31463</v>
      </c>
      <c r="J20" s="7">
        <v>31689</v>
      </c>
      <c r="K20" s="7">
        <v>34567</v>
      </c>
      <c r="L20" s="7">
        <v>34922</v>
      </c>
      <c r="M20" s="7">
        <v>35109</v>
      </c>
      <c r="N20" s="116">
        <v>34839.237603499998</v>
      </c>
      <c r="O20" s="7"/>
      <c r="P20" s="7"/>
      <c r="Q20" s="182" t="s">
        <v>60</v>
      </c>
      <c r="R20" s="131" t="s">
        <v>61</v>
      </c>
    </row>
    <row r="21" spans="1:18" ht="42.75">
      <c r="B21" s="27" t="s">
        <v>62</v>
      </c>
      <c r="C21" s="149" t="s">
        <v>63</v>
      </c>
      <c r="D21" s="127">
        <v>63286</v>
      </c>
      <c r="E21" s="127">
        <v>64574</v>
      </c>
      <c r="F21" s="3">
        <v>66318</v>
      </c>
      <c r="G21" s="3">
        <v>66881</v>
      </c>
      <c r="H21" s="3">
        <v>66880</v>
      </c>
      <c r="I21" s="3">
        <v>77076</v>
      </c>
      <c r="J21" s="3">
        <v>82507</v>
      </c>
      <c r="K21" s="3">
        <v>91558</v>
      </c>
      <c r="L21" s="3">
        <v>91064</v>
      </c>
      <c r="M21" s="3">
        <v>92143</v>
      </c>
      <c r="N21" s="116">
        <v>83902.467100500013</v>
      </c>
      <c r="O21" s="3"/>
      <c r="P21" s="3"/>
      <c r="Q21" s="181" t="s">
        <v>19</v>
      </c>
      <c r="R21" s="30" t="s">
        <v>64</v>
      </c>
    </row>
    <row r="22" spans="1:18" ht="15.75">
      <c r="B22" s="126"/>
      <c r="C22" s="75" t="s">
        <v>65</v>
      </c>
      <c r="D22" s="60">
        <f t="shared" ref="D22:J22" si="3">SUM(D19:D21)</f>
        <v>84253</v>
      </c>
      <c r="E22" s="60">
        <f t="shared" si="3"/>
        <v>90619</v>
      </c>
      <c r="F22" s="60">
        <f t="shared" si="3"/>
        <v>96791</v>
      </c>
      <c r="G22" s="60">
        <f t="shared" si="3"/>
        <v>97454</v>
      </c>
      <c r="H22" s="60">
        <f t="shared" si="3"/>
        <v>97469</v>
      </c>
      <c r="I22" s="60">
        <f t="shared" si="3"/>
        <v>109339</v>
      </c>
      <c r="J22" s="60">
        <f t="shared" si="3"/>
        <v>114996</v>
      </c>
      <c r="K22" s="60">
        <f>SUM(K19:K21)</f>
        <v>126925</v>
      </c>
      <c r="L22" s="60">
        <f>SUM(L19:L20)</f>
        <v>35722</v>
      </c>
      <c r="M22" s="60">
        <f>SUM(M19:M21)</f>
        <v>128052</v>
      </c>
      <c r="N22" s="60">
        <f t="shared" ref="N22" si="4">SUM(N19:N21)</f>
        <v>119541.704704</v>
      </c>
      <c r="O22" s="60">
        <f>M22-(M22*0.05)</f>
        <v>121649.4</v>
      </c>
      <c r="P22" s="60">
        <f>M22-(M22*0.1)</f>
        <v>115246.8</v>
      </c>
      <c r="Q22" s="111">
        <f>N22/K22-1</f>
        <v>-5.8170536111877058E-2</v>
      </c>
      <c r="R22" s="61"/>
    </row>
    <row r="23" spans="1:18" ht="31.15" customHeight="1"/>
    <row r="24" spans="1:18" ht="16.899999999999999">
      <c r="B24" s="213" t="s">
        <v>66</v>
      </c>
      <c r="C24" s="213"/>
      <c r="D24" s="213"/>
      <c r="E24" s="213"/>
      <c r="F24" s="213"/>
      <c r="G24" s="213"/>
      <c r="H24" s="213"/>
      <c r="I24" s="213"/>
      <c r="J24" s="213"/>
      <c r="K24" s="213"/>
      <c r="L24" s="198"/>
      <c r="M24" s="102"/>
      <c r="N24" s="102"/>
      <c r="O24" s="102"/>
      <c r="P24" s="102"/>
      <c r="Q24" s="198"/>
      <c r="R24" s="58" t="s">
        <v>16</v>
      </c>
    </row>
    <row r="25" spans="1:18" ht="28.5">
      <c r="A25" s="125">
        <v>22</v>
      </c>
      <c r="B25" s="128" t="s">
        <v>67</v>
      </c>
      <c r="C25" s="201" t="s">
        <v>68</v>
      </c>
      <c r="D25" s="136">
        <v>14983</v>
      </c>
      <c r="E25" s="136">
        <v>10300</v>
      </c>
      <c r="F25" s="4">
        <v>5588</v>
      </c>
      <c r="G25" s="7">
        <v>8650</v>
      </c>
      <c r="H25" s="7">
        <v>6730</v>
      </c>
      <c r="I25" s="7">
        <v>6730</v>
      </c>
      <c r="J25" s="7">
        <v>6091</v>
      </c>
      <c r="K25" s="7">
        <v>6185</v>
      </c>
      <c r="L25" s="7">
        <v>5298</v>
      </c>
      <c r="M25" s="7">
        <v>5298</v>
      </c>
      <c r="N25" s="7">
        <v>5297.5650000000005</v>
      </c>
      <c r="O25" s="7"/>
      <c r="P25" s="7"/>
      <c r="Q25" s="182"/>
      <c r="R25" s="131" t="s">
        <v>69</v>
      </c>
    </row>
    <row r="26" spans="1:18" ht="29.25" customHeight="1">
      <c r="A26" s="125">
        <v>23</v>
      </c>
      <c r="B26" s="27" t="s">
        <v>70</v>
      </c>
      <c r="C26" s="149" t="s">
        <v>71</v>
      </c>
      <c r="D26" s="127">
        <v>27566</v>
      </c>
      <c r="E26" s="127">
        <v>27170</v>
      </c>
      <c r="F26" s="3">
        <v>36936</v>
      </c>
      <c r="G26" s="3">
        <v>40164</v>
      </c>
      <c r="H26" s="3">
        <v>38114</v>
      </c>
      <c r="I26" s="3">
        <v>45477</v>
      </c>
      <c r="J26" s="3">
        <v>45405</v>
      </c>
      <c r="K26" s="3">
        <v>53874</v>
      </c>
      <c r="L26" s="3">
        <v>54034</v>
      </c>
      <c r="M26" s="3">
        <v>54732</v>
      </c>
      <c r="N26" s="116">
        <v>49844.338124749993</v>
      </c>
      <c r="O26" s="3"/>
      <c r="P26" s="3"/>
      <c r="Q26" s="181" t="s">
        <v>19</v>
      </c>
      <c r="R26" s="30" t="s">
        <v>72</v>
      </c>
    </row>
    <row r="27" spans="1:18" ht="46.9" customHeight="1">
      <c r="A27" s="125">
        <v>25</v>
      </c>
      <c r="B27" s="128" t="s">
        <v>73</v>
      </c>
      <c r="C27" s="201" t="s">
        <v>74</v>
      </c>
      <c r="D27" s="137">
        <v>6707</v>
      </c>
      <c r="E27" s="137">
        <v>2815</v>
      </c>
      <c r="F27" s="4">
        <v>31708</v>
      </c>
      <c r="G27" s="7">
        <v>32076</v>
      </c>
      <c r="H27" s="7">
        <v>20958</v>
      </c>
      <c r="I27" s="7">
        <v>27566</v>
      </c>
      <c r="J27" s="7">
        <v>28310</v>
      </c>
      <c r="K27" s="7">
        <v>30092</v>
      </c>
      <c r="L27" s="7">
        <v>33525</v>
      </c>
      <c r="M27" s="7">
        <v>34119</v>
      </c>
      <c r="N27" s="116">
        <v>32146.297724285698</v>
      </c>
      <c r="O27" s="7"/>
      <c r="P27" s="7"/>
      <c r="Q27" s="182" t="s">
        <v>75</v>
      </c>
      <c r="R27" s="135" t="s">
        <v>76</v>
      </c>
    </row>
    <row r="28" spans="1:18" ht="47.45" customHeight="1">
      <c r="A28" s="125">
        <v>24</v>
      </c>
      <c r="B28" s="27" t="s">
        <v>77</v>
      </c>
      <c r="C28" s="149" t="s">
        <v>78</v>
      </c>
      <c r="D28" s="138">
        <v>8385</v>
      </c>
      <c r="E28" s="138">
        <v>6556</v>
      </c>
      <c r="F28" s="3">
        <v>6600</v>
      </c>
      <c r="G28" s="3">
        <v>6600</v>
      </c>
      <c r="H28" s="3">
        <v>10500</v>
      </c>
      <c r="I28" s="3">
        <v>10500</v>
      </c>
      <c r="J28" s="3">
        <v>10494</v>
      </c>
      <c r="K28" s="3">
        <v>10974</v>
      </c>
      <c r="L28" s="3">
        <v>11101</v>
      </c>
      <c r="M28" s="3">
        <v>11101</v>
      </c>
      <c r="N28" s="3">
        <v>11101</v>
      </c>
      <c r="O28" s="3"/>
      <c r="P28" s="3"/>
      <c r="Q28" s="150"/>
      <c r="R28" s="30" t="s">
        <v>79</v>
      </c>
    </row>
    <row r="29" spans="1:18" ht="15.6" hidden="1" customHeight="1">
      <c r="A29" s="125">
        <v>26</v>
      </c>
      <c r="B29" s="128" t="s">
        <v>80</v>
      </c>
      <c r="C29" s="201" t="s">
        <v>81</v>
      </c>
      <c r="D29" s="137">
        <v>11573</v>
      </c>
      <c r="E29" s="137">
        <v>15093</v>
      </c>
      <c r="F29" s="4">
        <v>0</v>
      </c>
      <c r="G29" s="7"/>
      <c r="H29" s="7"/>
      <c r="I29" s="7"/>
      <c r="J29" s="7"/>
      <c r="K29" s="7"/>
      <c r="L29" s="7"/>
      <c r="M29" s="7"/>
      <c r="N29" s="7"/>
      <c r="O29" s="7"/>
      <c r="P29" s="7"/>
      <c r="Q29" s="201"/>
      <c r="R29" s="139"/>
    </row>
    <row r="30" spans="1:18" ht="15.6" hidden="1" customHeight="1">
      <c r="A30" s="125">
        <v>27</v>
      </c>
      <c r="B30" s="27" t="s">
        <v>82</v>
      </c>
      <c r="C30" s="149" t="s">
        <v>83</v>
      </c>
      <c r="D30" s="127">
        <v>4385</v>
      </c>
      <c r="E30" s="127">
        <v>4350</v>
      </c>
      <c r="F30" s="3">
        <v>0</v>
      </c>
      <c r="G30" s="7"/>
      <c r="H30" s="7"/>
      <c r="I30" s="7"/>
      <c r="J30" s="7"/>
      <c r="K30" s="7"/>
      <c r="L30" s="7"/>
      <c r="M30" s="7"/>
      <c r="N30" s="7"/>
      <c r="O30" s="7"/>
      <c r="P30" s="7"/>
      <c r="Q30" s="201"/>
      <c r="R30" s="139"/>
    </row>
    <row r="31" spans="1:18" ht="36.6" customHeight="1">
      <c r="A31" s="125">
        <v>28</v>
      </c>
      <c r="B31" s="128" t="s">
        <v>84</v>
      </c>
      <c r="C31" s="201" t="s">
        <v>85</v>
      </c>
      <c r="D31" s="137">
        <v>4050</v>
      </c>
      <c r="E31" s="137">
        <v>3300</v>
      </c>
      <c r="F31" s="4">
        <v>7650</v>
      </c>
      <c r="G31" s="7">
        <v>8800</v>
      </c>
      <c r="H31" s="7">
        <v>8720</v>
      </c>
      <c r="I31" s="7">
        <v>8920</v>
      </c>
      <c r="J31" s="7">
        <v>8900</v>
      </c>
      <c r="K31" s="7">
        <v>8400</v>
      </c>
      <c r="L31" s="7">
        <v>6900</v>
      </c>
      <c r="M31" s="7">
        <v>6900</v>
      </c>
      <c r="N31" s="7">
        <v>6900</v>
      </c>
      <c r="O31" s="7"/>
      <c r="P31" s="7"/>
      <c r="Q31" s="182" t="s">
        <v>86</v>
      </c>
      <c r="R31" s="131" t="s">
        <v>87</v>
      </c>
    </row>
    <row r="32" spans="1:18" ht="36" customHeight="1">
      <c r="A32" s="125">
        <v>29</v>
      </c>
      <c r="B32" s="27" t="s">
        <v>88</v>
      </c>
      <c r="C32" s="149" t="s">
        <v>89</v>
      </c>
      <c r="D32" s="138"/>
      <c r="E32" s="138"/>
      <c r="F32" s="3"/>
      <c r="G32" s="3"/>
      <c r="H32" s="3"/>
      <c r="I32" s="3">
        <v>0</v>
      </c>
      <c r="J32" s="3">
        <v>0</v>
      </c>
      <c r="K32" s="3">
        <v>0</v>
      </c>
      <c r="L32" s="3">
        <v>0</v>
      </c>
      <c r="M32" s="3">
        <v>0</v>
      </c>
      <c r="N32" s="3">
        <v>0</v>
      </c>
      <c r="O32" s="3"/>
      <c r="P32" s="3"/>
      <c r="Q32" s="150" t="s">
        <v>32</v>
      </c>
      <c r="R32" s="30" t="s">
        <v>90</v>
      </c>
    </row>
    <row r="33" spans="1:18" ht="15.75">
      <c r="B33" s="126"/>
      <c r="C33" s="75" t="s">
        <v>91</v>
      </c>
      <c r="D33" s="60">
        <f t="shared" ref="D33:J33" si="5">SUM(D25:D32)</f>
        <v>77649</v>
      </c>
      <c r="E33" s="60">
        <f t="shared" si="5"/>
        <v>69584</v>
      </c>
      <c r="F33" s="60">
        <f t="shared" si="5"/>
        <v>88482</v>
      </c>
      <c r="G33" s="60">
        <f t="shared" si="5"/>
        <v>96290</v>
      </c>
      <c r="H33" s="60">
        <f t="shared" si="5"/>
        <v>85022</v>
      </c>
      <c r="I33" s="60">
        <f t="shared" si="5"/>
        <v>99193</v>
      </c>
      <c r="J33" s="60">
        <f t="shared" si="5"/>
        <v>99200</v>
      </c>
      <c r="K33" s="60">
        <f t="shared" ref="K33:N33" si="6">SUM(K25:K32)</f>
        <v>109525</v>
      </c>
      <c r="L33" s="60">
        <f t="shared" si="6"/>
        <v>110858</v>
      </c>
      <c r="M33" s="60">
        <f t="shared" si="6"/>
        <v>112150</v>
      </c>
      <c r="N33" s="60">
        <f t="shared" si="6"/>
        <v>105289.2008490357</v>
      </c>
      <c r="O33" s="60">
        <f>M33-(M33*0.05)</f>
        <v>106542.5</v>
      </c>
      <c r="P33" s="60">
        <f>M33-(M33*0.1)</f>
        <v>100935</v>
      </c>
      <c r="Q33" s="111">
        <f>N33/K33-1</f>
        <v>-3.8674267527635697E-2</v>
      </c>
      <c r="R33" s="61"/>
    </row>
    <row r="34" spans="1:18" ht="24" customHeight="1"/>
    <row r="35" spans="1:18" ht="16.899999999999999">
      <c r="B35" s="213" t="s">
        <v>92</v>
      </c>
      <c r="C35" s="213"/>
      <c r="D35" s="213"/>
      <c r="E35" s="213"/>
      <c r="F35" s="213"/>
      <c r="G35" s="213"/>
      <c r="H35" s="213"/>
      <c r="I35" s="213"/>
      <c r="J35" s="213"/>
      <c r="K35" s="213"/>
      <c r="L35" s="198"/>
      <c r="M35" s="102"/>
      <c r="N35" s="102"/>
      <c r="O35" s="102"/>
      <c r="P35" s="102"/>
      <c r="Q35" s="198"/>
      <c r="R35" s="58" t="s">
        <v>16</v>
      </c>
    </row>
    <row r="36" spans="1:18" ht="57">
      <c r="A36" s="125">
        <v>52</v>
      </c>
      <c r="B36" s="128" t="s">
        <v>93</v>
      </c>
      <c r="C36" s="201" t="s">
        <v>94</v>
      </c>
      <c r="D36" s="136">
        <v>74260</v>
      </c>
      <c r="E36" s="136">
        <v>69830</v>
      </c>
      <c r="F36" s="4">
        <v>83517</v>
      </c>
      <c r="G36" s="7">
        <v>84888</v>
      </c>
      <c r="H36" s="7">
        <v>81512</v>
      </c>
      <c r="I36" s="7">
        <v>100992</v>
      </c>
      <c r="J36" s="7">
        <v>92357</v>
      </c>
      <c r="K36" s="7">
        <v>118246</v>
      </c>
      <c r="L36" s="7">
        <v>118476</v>
      </c>
      <c r="M36" s="7">
        <v>120338</v>
      </c>
      <c r="N36" s="116">
        <v>104572.32437699998</v>
      </c>
      <c r="O36" s="7"/>
      <c r="P36" s="7"/>
      <c r="Q36" s="181" t="s">
        <v>95</v>
      </c>
      <c r="R36" s="131" t="s">
        <v>96</v>
      </c>
    </row>
    <row r="37" spans="1:18" ht="43.9" hidden="1" customHeight="1">
      <c r="B37" s="27" t="s">
        <v>97</v>
      </c>
      <c r="C37" s="149" t="s">
        <v>98</v>
      </c>
      <c r="D37" s="127">
        <v>0</v>
      </c>
      <c r="E37" s="127">
        <v>3050</v>
      </c>
      <c r="F37" s="3">
        <v>2750</v>
      </c>
      <c r="G37" s="3">
        <v>2750</v>
      </c>
      <c r="H37" s="3">
        <v>0</v>
      </c>
      <c r="I37" s="3">
        <v>0</v>
      </c>
      <c r="J37" s="3">
        <v>0</v>
      </c>
      <c r="K37" s="3">
        <v>0</v>
      </c>
      <c r="L37" s="3"/>
      <c r="M37" s="3">
        <v>0</v>
      </c>
      <c r="N37" s="3"/>
      <c r="O37" s="3"/>
      <c r="P37" s="3"/>
      <c r="Q37" s="181" t="s">
        <v>99</v>
      </c>
      <c r="R37" s="30" t="s">
        <v>100</v>
      </c>
    </row>
    <row r="38" spans="1:18" ht="42.6" customHeight="1">
      <c r="A38" s="125">
        <v>56</v>
      </c>
      <c r="B38" s="128" t="s">
        <v>101</v>
      </c>
      <c r="C38" s="201" t="s">
        <v>102</v>
      </c>
      <c r="D38" s="137">
        <v>6830</v>
      </c>
      <c r="E38" s="137">
        <v>15410</v>
      </c>
      <c r="F38" s="4">
        <v>7205</v>
      </c>
      <c r="G38" s="7">
        <v>7205</v>
      </c>
      <c r="H38" s="7">
        <v>7205</v>
      </c>
      <c r="I38" s="7">
        <v>7255</v>
      </c>
      <c r="J38" s="7">
        <v>5000</v>
      </c>
      <c r="K38" s="7">
        <v>6060</v>
      </c>
      <c r="L38" s="7">
        <v>6060</v>
      </c>
      <c r="M38" s="7">
        <v>6060</v>
      </c>
      <c r="N38" s="7">
        <v>6060</v>
      </c>
      <c r="O38" s="7"/>
      <c r="P38" s="7"/>
      <c r="Q38" s="182"/>
      <c r="R38" s="131" t="s">
        <v>103</v>
      </c>
    </row>
    <row r="39" spans="1:18" ht="28.5">
      <c r="A39" s="125">
        <v>60</v>
      </c>
      <c r="B39" s="27" t="s">
        <v>104</v>
      </c>
      <c r="C39" s="149" t="s">
        <v>105</v>
      </c>
      <c r="D39" s="138"/>
      <c r="E39" s="138"/>
      <c r="F39" s="3">
        <v>0</v>
      </c>
      <c r="G39" s="3">
        <v>800</v>
      </c>
      <c r="H39" s="3">
        <v>800</v>
      </c>
      <c r="I39" s="3">
        <v>800</v>
      </c>
      <c r="J39" s="3">
        <v>750</v>
      </c>
      <c r="K39" s="3">
        <v>450</v>
      </c>
      <c r="L39" s="3">
        <v>550</v>
      </c>
      <c r="M39" s="3">
        <v>550</v>
      </c>
      <c r="N39" s="116">
        <v>450</v>
      </c>
      <c r="O39" s="3"/>
      <c r="P39" s="3"/>
      <c r="Q39" s="150"/>
      <c r="R39" s="30" t="s">
        <v>106</v>
      </c>
    </row>
    <row r="40" spans="1:18" ht="45" customHeight="1">
      <c r="A40" s="125">
        <v>57</v>
      </c>
      <c r="B40" s="128" t="s">
        <v>107</v>
      </c>
      <c r="C40" s="201" t="s">
        <v>108</v>
      </c>
      <c r="D40" s="137">
        <v>12930</v>
      </c>
      <c r="E40" s="137">
        <v>12904</v>
      </c>
      <c r="F40" s="4">
        <v>12920</v>
      </c>
      <c r="G40" s="7">
        <v>12920</v>
      </c>
      <c r="H40" s="7">
        <v>12920</v>
      </c>
      <c r="I40" s="7">
        <v>12225</v>
      </c>
      <c r="J40" s="7">
        <v>12225</v>
      </c>
      <c r="K40" s="7">
        <v>12050</v>
      </c>
      <c r="L40" s="7">
        <v>12260</v>
      </c>
      <c r="M40" s="7">
        <v>12260</v>
      </c>
      <c r="N40" s="116">
        <v>12000</v>
      </c>
      <c r="O40" s="7"/>
      <c r="P40" s="7"/>
      <c r="Q40" s="201"/>
      <c r="R40" s="131" t="s">
        <v>109</v>
      </c>
    </row>
    <row r="41" spans="1:18" ht="41.25" customHeight="1">
      <c r="A41" s="125">
        <v>54</v>
      </c>
      <c r="B41" s="27" t="s">
        <v>110</v>
      </c>
      <c r="C41" s="149" t="s">
        <v>111</v>
      </c>
      <c r="D41" s="138">
        <v>10000</v>
      </c>
      <c r="E41" s="138">
        <v>10430</v>
      </c>
      <c r="F41" s="3">
        <v>10000</v>
      </c>
      <c r="G41" s="3">
        <v>10000</v>
      </c>
      <c r="H41" s="3">
        <v>10000</v>
      </c>
      <c r="I41" s="3">
        <v>10000</v>
      </c>
      <c r="J41" s="3">
        <v>9950</v>
      </c>
      <c r="K41" s="3">
        <v>10000</v>
      </c>
      <c r="L41" s="3">
        <v>10000</v>
      </c>
      <c r="M41" s="3">
        <v>10000</v>
      </c>
      <c r="N41" s="3">
        <v>10000</v>
      </c>
      <c r="O41" s="3"/>
      <c r="P41" s="3"/>
      <c r="Q41" s="150"/>
      <c r="R41" s="30" t="s">
        <v>112</v>
      </c>
    </row>
    <row r="42" spans="1:18" ht="24" customHeight="1">
      <c r="A42" s="140">
        <v>59</v>
      </c>
      <c r="B42" s="128" t="s">
        <v>113</v>
      </c>
      <c r="C42" s="201" t="s">
        <v>114</v>
      </c>
      <c r="D42" s="137"/>
      <c r="E42" s="137"/>
      <c r="F42" s="4"/>
      <c r="G42" s="7"/>
      <c r="H42" s="7"/>
      <c r="I42" s="7"/>
      <c r="J42" s="7"/>
      <c r="K42" s="7">
        <v>14600</v>
      </c>
      <c r="L42" s="7">
        <v>14600</v>
      </c>
      <c r="M42" s="7">
        <v>14600</v>
      </c>
      <c r="N42" s="7">
        <v>14600</v>
      </c>
      <c r="O42" s="7"/>
      <c r="P42" s="7"/>
      <c r="Q42" s="201"/>
      <c r="R42" s="131" t="s">
        <v>115</v>
      </c>
    </row>
    <row r="43" spans="1:18" ht="44.45" customHeight="1">
      <c r="A43" s="125">
        <v>55</v>
      </c>
      <c r="B43" s="27" t="s">
        <v>116</v>
      </c>
      <c r="C43" s="162" t="s">
        <v>117</v>
      </c>
      <c r="D43" s="138">
        <v>11575</v>
      </c>
      <c r="E43" s="3">
        <v>11850</v>
      </c>
      <c r="F43" s="3">
        <v>12430</v>
      </c>
      <c r="G43" s="3">
        <v>12430</v>
      </c>
      <c r="H43" s="3">
        <v>12630</v>
      </c>
      <c r="I43" s="3">
        <v>12630</v>
      </c>
      <c r="J43" s="3">
        <v>12300</v>
      </c>
      <c r="K43" s="3">
        <v>14250</v>
      </c>
      <c r="L43" s="3">
        <v>14550</v>
      </c>
      <c r="M43" s="3">
        <v>14550</v>
      </c>
      <c r="N43" s="116">
        <v>14250</v>
      </c>
      <c r="O43" s="3"/>
      <c r="P43" s="3"/>
      <c r="Q43" s="150"/>
      <c r="R43" s="30" t="s">
        <v>118</v>
      </c>
    </row>
    <row r="44" spans="1:18" ht="28.5" customHeight="1">
      <c r="A44" s="125">
        <v>58</v>
      </c>
      <c r="B44" s="128" t="s">
        <v>119</v>
      </c>
      <c r="C44" s="201" t="s">
        <v>120</v>
      </c>
      <c r="D44" s="137">
        <f>29700+10000</f>
        <v>39700</v>
      </c>
      <c r="E44" s="137">
        <f>34000+5000</f>
        <v>39000</v>
      </c>
      <c r="F44" s="4">
        <f>44250+5000</f>
        <v>49250</v>
      </c>
      <c r="G44" s="7">
        <f>44250+2700</f>
        <v>46950</v>
      </c>
      <c r="H44" s="7">
        <v>44250</v>
      </c>
      <c r="I44" s="7">
        <v>44257</v>
      </c>
      <c r="J44" s="7">
        <v>35000</v>
      </c>
      <c r="K44" s="7">
        <v>32350</v>
      </c>
      <c r="L44" s="7">
        <v>32600</v>
      </c>
      <c r="M44" s="7">
        <v>32600</v>
      </c>
      <c r="N44" s="116">
        <v>26700</v>
      </c>
      <c r="O44" s="7"/>
      <c r="P44" s="7"/>
      <c r="Q44" s="182" t="s">
        <v>121</v>
      </c>
      <c r="R44" s="131" t="s">
        <v>122</v>
      </c>
    </row>
    <row r="45" spans="1:18" ht="45" customHeight="1">
      <c r="A45" s="28">
        <v>53</v>
      </c>
      <c r="B45" s="141" t="s">
        <v>123</v>
      </c>
      <c r="C45" s="162" t="s">
        <v>124</v>
      </c>
      <c r="D45" s="3">
        <v>16800</v>
      </c>
      <c r="E45" s="3">
        <v>16430</v>
      </c>
      <c r="F45" s="3">
        <v>18000</v>
      </c>
      <c r="G45" s="3">
        <v>18000</v>
      </c>
      <c r="H45" s="3">
        <v>18000</v>
      </c>
      <c r="I45" s="3">
        <v>17950</v>
      </c>
      <c r="J45" s="3">
        <v>15000</v>
      </c>
      <c r="K45" s="3">
        <v>11600</v>
      </c>
      <c r="L45" s="31">
        <v>12000</v>
      </c>
      <c r="M45" s="3">
        <v>12000</v>
      </c>
      <c r="N45" s="116">
        <v>11600</v>
      </c>
      <c r="O45" s="3"/>
      <c r="P45" s="3"/>
      <c r="Q45" s="150"/>
      <c r="R45" s="30" t="s">
        <v>125</v>
      </c>
    </row>
    <row r="46" spans="1:18" ht="15.75">
      <c r="B46" s="126"/>
      <c r="C46" s="75" t="s">
        <v>126</v>
      </c>
      <c r="D46" s="60">
        <f t="shared" ref="D46:J46" si="7">SUM(D36:D45)</f>
        <v>172095</v>
      </c>
      <c r="E46" s="60">
        <f t="shared" si="7"/>
        <v>178904</v>
      </c>
      <c r="F46" s="60">
        <f t="shared" si="7"/>
        <v>196072</v>
      </c>
      <c r="G46" s="60">
        <f t="shared" si="7"/>
        <v>195943</v>
      </c>
      <c r="H46" s="60">
        <f t="shared" si="7"/>
        <v>187317</v>
      </c>
      <c r="I46" s="60">
        <f t="shared" si="7"/>
        <v>206109</v>
      </c>
      <c r="J46" s="60">
        <f t="shared" si="7"/>
        <v>182582</v>
      </c>
      <c r="K46" s="60">
        <f>SUM(K36:K45)</f>
        <v>219606</v>
      </c>
      <c r="L46" s="60">
        <f>SUM(L36:L44)</f>
        <v>209096</v>
      </c>
      <c r="M46" s="60">
        <f>SUM(M36:M45)</f>
        <v>222958</v>
      </c>
      <c r="N46" s="60">
        <f t="shared" ref="N46" si="8">SUM(N36:N45)</f>
        <v>200232.32437699998</v>
      </c>
      <c r="O46" s="60">
        <f>M46-(M46*0.05)</f>
        <v>211810.1</v>
      </c>
      <c r="P46" s="60">
        <f>M46-(M46*0.1)</f>
        <v>200662.2</v>
      </c>
      <c r="Q46" s="111">
        <f>N46/K46-1</f>
        <v>-8.8220156202471811E-2</v>
      </c>
      <c r="R46" s="61"/>
    </row>
    <row r="47" spans="1:18" ht="20.45" customHeight="1">
      <c r="B47" s="142"/>
      <c r="C47" s="163"/>
      <c r="D47" s="72"/>
      <c r="E47" s="72"/>
      <c r="F47" s="73"/>
      <c r="G47" s="73"/>
      <c r="H47" s="73"/>
      <c r="I47" s="73"/>
      <c r="J47" s="73"/>
      <c r="K47" s="73"/>
      <c r="L47" s="73"/>
      <c r="M47" s="73"/>
      <c r="N47" s="73"/>
      <c r="O47" s="73"/>
      <c r="P47" s="73"/>
      <c r="Q47" s="183"/>
      <c r="R47" s="74"/>
    </row>
    <row r="48" spans="1:18" ht="16.899999999999999">
      <c r="B48" s="75" t="s">
        <v>127</v>
      </c>
      <c r="C48" s="75"/>
      <c r="D48" s="59"/>
      <c r="E48" s="59"/>
      <c r="F48" s="60"/>
      <c r="G48" s="60"/>
      <c r="H48" s="60"/>
      <c r="I48" s="60"/>
      <c r="J48" s="60"/>
      <c r="K48" s="60"/>
      <c r="L48" s="60"/>
      <c r="M48" s="60"/>
      <c r="N48" s="60"/>
      <c r="O48" s="60"/>
      <c r="P48" s="60"/>
      <c r="Q48" s="184"/>
      <c r="R48" s="58" t="s">
        <v>16</v>
      </c>
    </row>
    <row r="49" spans="1:18" ht="28.5">
      <c r="B49" s="143" t="s">
        <v>128</v>
      </c>
      <c r="C49" s="32" t="s">
        <v>129</v>
      </c>
      <c r="D49" s="136">
        <v>4560</v>
      </c>
      <c r="E49" s="136">
        <v>4060</v>
      </c>
      <c r="F49" s="12">
        <v>3770</v>
      </c>
      <c r="G49" s="12">
        <v>3770</v>
      </c>
      <c r="H49" s="12">
        <v>3570</v>
      </c>
      <c r="I49" s="12">
        <v>3570</v>
      </c>
      <c r="J49" s="12">
        <v>3570</v>
      </c>
      <c r="K49" s="12">
        <v>3555</v>
      </c>
      <c r="L49" s="12">
        <v>3635</v>
      </c>
      <c r="M49" s="12">
        <v>3635</v>
      </c>
      <c r="N49" s="116">
        <v>2270</v>
      </c>
      <c r="O49" s="12"/>
      <c r="P49" s="12"/>
      <c r="Q49" s="182" t="s">
        <v>130</v>
      </c>
      <c r="R49" s="131" t="s">
        <v>131</v>
      </c>
    </row>
    <row r="50" spans="1:18" ht="15.75">
      <c r="B50" s="126"/>
      <c r="C50" s="75" t="s">
        <v>132</v>
      </c>
      <c r="D50" s="59">
        <f t="shared" ref="D50:N50" si="9">SUM(D49)</f>
        <v>4560</v>
      </c>
      <c r="E50" s="59">
        <f t="shared" si="9"/>
        <v>4060</v>
      </c>
      <c r="F50" s="59">
        <f t="shared" si="9"/>
        <v>3770</v>
      </c>
      <c r="G50" s="59">
        <f t="shared" si="9"/>
        <v>3770</v>
      </c>
      <c r="H50" s="59">
        <f t="shared" si="9"/>
        <v>3570</v>
      </c>
      <c r="I50" s="59">
        <f t="shared" si="9"/>
        <v>3570</v>
      </c>
      <c r="J50" s="59">
        <f t="shared" si="9"/>
        <v>3570</v>
      </c>
      <c r="K50" s="59">
        <f t="shared" si="9"/>
        <v>3555</v>
      </c>
      <c r="L50" s="59">
        <f t="shared" si="9"/>
        <v>3635</v>
      </c>
      <c r="M50" s="59">
        <f t="shared" si="9"/>
        <v>3635</v>
      </c>
      <c r="N50" s="59">
        <f t="shared" si="9"/>
        <v>2270</v>
      </c>
      <c r="O50" s="60">
        <f>M50-(M50*0.05)</f>
        <v>3453.25</v>
      </c>
      <c r="P50" s="60">
        <f>M50-(M50*0.1)</f>
        <v>3271.5</v>
      </c>
      <c r="Q50" s="111">
        <f>N50/K50-1</f>
        <v>-0.3614627285513361</v>
      </c>
      <c r="R50" s="61"/>
    </row>
    <row r="51" spans="1:18" ht="29.45" customHeight="1"/>
    <row r="52" spans="1:18" ht="16.899999999999999">
      <c r="B52" s="212" t="s">
        <v>133</v>
      </c>
      <c r="C52" s="212"/>
      <c r="D52" s="212"/>
      <c r="E52" s="212"/>
      <c r="F52" s="212"/>
      <c r="G52" s="212"/>
      <c r="H52" s="212"/>
      <c r="I52" s="212"/>
      <c r="J52" s="212"/>
      <c r="K52" s="212"/>
      <c r="L52" s="200"/>
      <c r="M52" s="103"/>
      <c r="N52" s="103"/>
      <c r="O52" s="103"/>
      <c r="P52" s="103"/>
      <c r="Q52" s="200"/>
      <c r="R52" s="34" t="s">
        <v>134</v>
      </c>
    </row>
    <row r="53" spans="1:18" ht="15.6" customHeight="1">
      <c r="A53" s="125">
        <v>18</v>
      </c>
      <c r="B53" s="128" t="s">
        <v>135</v>
      </c>
      <c r="C53" s="201" t="s">
        <v>136</v>
      </c>
      <c r="D53" s="129">
        <v>4500</v>
      </c>
      <c r="E53" s="129">
        <v>4500</v>
      </c>
      <c r="F53" s="4">
        <v>4500</v>
      </c>
      <c r="G53" s="7">
        <v>5150</v>
      </c>
      <c r="H53" s="7">
        <v>4870</v>
      </c>
      <c r="I53" s="7">
        <v>6300</v>
      </c>
      <c r="J53" s="7">
        <v>5550</v>
      </c>
      <c r="K53" s="7">
        <v>4000</v>
      </c>
      <c r="L53" s="7">
        <v>3000</v>
      </c>
      <c r="M53" s="7">
        <v>5000</v>
      </c>
      <c r="N53" s="116">
        <v>4500</v>
      </c>
      <c r="O53" s="7"/>
      <c r="P53" s="7"/>
      <c r="Q53" s="185" t="s">
        <v>137</v>
      </c>
      <c r="R53" s="131" t="s">
        <v>138</v>
      </c>
    </row>
    <row r="54" spans="1:18" ht="15.6" customHeight="1">
      <c r="A54" s="125">
        <v>20</v>
      </c>
      <c r="B54" s="27" t="s">
        <v>139</v>
      </c>
      <c r="C54" s="149" t="s">
        <v>140</v>
      </c>
      <c r="D54" s="144"/>
      <c r="E54" s="144"/>
      <c r="F54" s="3"/>
      <c r="G54" s="3">
        <v>0</v>
      </c>
      <c r="H54" s="3">
        <v>0</v>
      </c>
      <c r="I54" s="3">
        <v>0</v>
      </c>
      <c r="J54" s="3">
        <v>700</v>
      </c>
      <c r="K54" s="3">
        <v>1600</v>
      </c>
      <c r="L54" s="3">
        <v>4000</v>
      </c>
      <c r="M54" s="3">
        <v>4000</v>
      </c>
      <c r="N54" s="3">
        <v>4200</v>
      </c>
      <c r="O54" s="3"/>
      <c r="P54" s="3"/>
      <c r="Q54" s="186" t="s">
        <v>141</v>
      </c>
      <c r="R54" s="30" t="s">
        <v>142</v>
      </c>
    </row>
    <row r="55" spans="1:18" s="14" customFormat="1" ht="27.75" customHeight="1">
      <c r="A55" s="125">
        <v>17</v>
      </c>
      <c r="B55" s="128" t="s">
        <v>143</v>
      </c>
      <c r="C55" s="201" t="s">
        <v>144</v>
      </c>
      <c r="D55" s="129">
        <v>137250</v>
      </c>
      <c r="E55" s="129">
        <v>137250</v>
      </c>
      <c r="F55" s="4">
        <v>147000</v>
      </c>
      <c r="G55" s="7">
        <v>159500</v>
      </c>
      <c r="H55" s="7">
        <v>161600</v>
      </c>
      <c r="I55" s="7">
        <v>173786</v>
      </c>
      <c r="J55" s="7">
        <v>182964</v>
      </c>
      <c r="K55" s="7">
        <v>187812</v>
      </c>
      <c r="L55" s="7">
        <v>190425</v>
      </c>
      <c r="M55" s="7">
        <v>190425</v>
      </c>
      <c r="N55" s="116">
        <v>188675</v>
      </c>
      <c r="O55" s="7"/>
      <c r="P55" s="7"/>
      <c r="Q55" s="182"/>
      <c r="R55" s="131" t="s">
        <v>145</v>
      </c>
    </row>
    <row r="56" spans="1:18" ht="30" customHeight="1">
      <c r="A56" s="125">
        <v>14</v>
      </c>
      <c r="B56" s="27" t="s">
        <v>146</v>
      </c>
      <c r="C56" s="149" t="s">
        <v>147</v>
      </c>
      <c r="D56" s="127">
        <v>76357</v>
      </c>
      <c r="E56" s="127">
        <v>81370</v>
      </c>
      <c r="F56" s="3">
        <v>89562</v>
      </c>
      <c r="G56" s="3">
        <v>86291</v>
      </c>
      <c r="H56" s="3">
        <v>86862</v>
      </c>
      <c r="I56" s="3">
        <v>96974</v>
      </c>
      <c r="J56" s="3">
        <v>93610</v>
      </c>
      <c r="K56" s="3">
        <v>117510</v>
      </c>
      <c r="L56" s="3">
        <v>117610</v>
      </c>
      <c r="M56" s="3">
        <v>118150</v>
      </c>
      <c r="N56" s="116">
        <v>113904.95920674998</v>
      </c>
      <c r="O56" s="3"/>
      <c r="P56" s="3"/>
      <c r="Q56" s="150"/>
      <c r="R56" s="30" t="s">
        <v>148</v>
      </c>
    </row>
    <row r="57" spans="1:18" ht="30" customHeight="1">
      <c r="A57" s="125">
        <v>15</v>
      </c>
      <c r="B57" s="128" t="s">
        <v>149</v>
      </c>
      <c r="C57" s="201" t="s">
        <v>150</v>
      </c>
      <c r="D57" s="137">
        <v>42653</v>
      </c>
      <c r="E57" s="137">
        <v>43282</v>
      </c>
      <c r="F57" s="4">
        <v>22545</v>
      </c>
      <c r="G57" s="7">
        <v>48801</v>
      </c>
      <c r="H57" s="12">
        <v>48698</v>
      </c>
      <c r="I57" s="12">
        <v>55918</v>
      </c>
      <c r="J57" s="12">
        <v>58103</v>
      </c>
      <c r="K57" s="12">
        <v>66353</v>
      </c>
      <c r="L57" s="12">
        <v>66833</v>
      </c>
      <c r="M57" s="12">
        <v>67897</v>
      </c>
      <c r="N57" s="116">
        <v>67796.608518500012</v>
      </c>
      <c r="O57" s="12"/>
      <c r="P57" s="12"/>
      <c r="Q57" s="187" t="s">
        <v>151</v>
      </c>
      <c r="R57" s="131" t="s">
        <v>152</v>
      </c>
    </row>
    <row r="58" spans="1:18" ht="15.6" customHeight="1">
      <c r="A58" s="125">
        <v>16</v>
      </c>
      <c r="B58" s="27" t="s">
        <v>153</v>
      </c>
      <c r="C58" s="149" t="s">
        <v>154</v>
      </c>
      <c r="D58" s="144">
        <v>22000</v>
      </c>
      <c r="E58" s="144">
        <v>22000</v>
      </c>
      <c r="F58" s="29">
        <v>21000</v>
      </c>
      <c r="G58" s="29">
        <v>21000</v>
      </c>
      <c r="H58" s="29">
        <v>21000</v>
      </c>
      <c r="I58" s="29">
        <v>21000</v>
      </c>
      <c r="J58" s="29">
        <v>21000</v>
      </c>
      <c r="K58" s="29">
        <v>20717</v>
      </c>
      <c r="L58" s="29">
        <v>21200</v>
      </c>
      <c r="M58" s="29">
        <v>21200</v>
      </c>
      <c r="N58" s="29">
        <v>21200</v>
      </c>
      <c r="O58" s="29"/>
      <c r="P58" s="29"/>
      <c r="Q58" s="150"/>
      <c r="R58" s="30" t="s">
        <v>155</v>
      </c>
    </row>
    <row r="59" spans="1:18" ht="15.6" customHeight="1">
      <c r="A59" s="125">
        <v>19</v>
      </c>
      <c r="B59" s="143" t="s">
        <v>156</v>
      </c>
      <c r="C59" s="32" t="s">
        <v>157</v>
      </c>
      <c r="D59" s="136">
        <v>0</v>
      </c>
      <c r="E59" s="136">
        <v>0</v>
      </c>
      <c r="F59" s="12">
        <v>-1373</v>
      </c>
      <c r="G59" s="12">
        <v>0</v>
      </c>
      <c r="H59" s="12">
        <v>0</v>
      </c>
      <c r="I59" s="12">
        <v>0</v>
      </c>
      <c r="J59" s="12">
        <v>0</v>
      </c>
      <c r="K59" s="12">
        <v>0</v>
      </c>
      <c r="L59" s="12">
        <v>0</v>
      </c>
      <c r="M59" s="12">
        <v>0</v>
      </c>
      <c r="N59" s="12">
        <v>0</v>
      </c>
      <c r="O59" s="12"/>
      <c r="P59" s="12"/>
      <c r="Q59" s="201" t="s">
        <v>158</v>
      </c>
      <c r="R59" s="139" t="s">
        <v>159</v>
      </c>
    </row>
    <row r="60" spans="1:18" ht="44.25" customHeight="1">
      <c r="A60" s="125">
        <v>21</v>
      </c>
      <c r="B60" s="27" t="s">
        <v>160</v>
      </c>
      <c r="C60" s="149" t="s">
        <v>161</v>
      </c>
      <c r="D60" s="127">
        <v>14983</v>
      </c>
      <c r="E60" s="127">
        <v>10300</v>
      </c>
      <c r="F60" s="3">
        <v>8242</v>
      </c>
      <c r="G60" s="3">
        <v>14871</v>
      </c>
      <c r="H60" s="3">
        <v>15093</v>
      </c>
      <c r="I60" s="3">
        <v>25298</v>
      </c>
      <c r="J60" s="3">
        <v>26532</v>
      </c>
      <c r="K60" s="3">
        <v>25151</v>
      </c>
      <c r="L60" s="3">
        <v>26893</v>
      </c>
      <c r="M60" s="3">
        <v>27198</v>
      </c>
      <c r="N60" s="116">
        <v>23806.574235</v>
      </c>
      <c r="O60" s="3"/>
      <c r="P60" s="3"/>
      <c r="Q60" s="150" t="s">
        <v>162</v>
      </c>
      <c r="R60" s="30" t="s">
        <v>163</v>
      </c>
    </row>
    <row r="61" spans="1:18" ht="15.75">
      <c r="B61" s="126"/>
      <c r="C61" s="164" t="s">
        <v>164</v>
      </c>
      <c r="D61" s="35">
        <f t="shared" ref="D61:J61" si="10">SUM(D53:D60)</f>
        <v>297743</v>
      </c>
      <c r="E61" s="35">
        <f t="shared" si="10"/>
        <v>298702</v>
      </c>
      <c r="F61" s="35">
        <f t="shared" si="10"/>
        <v>291476</v>
      </c>
      <c r="G61" s="35">
        <f t="shared" si="10"/>
        <v>335613</v>
      </c>
      <c r="H61" s="35">
        <f t="shared" si="10"/>
        <v>338123</v>
      </c>
      <c r="I61" s="35">
        <f t="shared" si="10"/>
        <v>379276</v>
      </c>
      <c r="J61" s="35">
        <f t="shared" si="10"/>
        <v>388459</v>
      </c>
      <c r="K61" s="35">
        <f>SUM(K53:K60)</f>
        <v>423143</v>
      </c>
      <c r="L61" s="35">
        <f>SUM(L56:L60)</f>
        <v>232536</v>
      </c>
      <c r="M61" s="35">
        <f>SUM(M53:M60)</f>
        <v>433870</v>
      </c>
      <c r="N61" s="35">
        <f t="shared" ref="N61" si="11">SUM(N53:N60)</f>
        <v>424083.14196024998</v>
      </c>
      <c r="O61" s="35">
        <f>M61-(M61*0.05)</f>
        <v>412176.5</v>
      </c>
      <c r="P61" s="35">
        <f>M61-(M61*0.1)</f>
        <v>390483</v>
      </c>
      <c r="Q61" s="112">
        <f>N61/K61-1</f>
        <v>2.2218067184143209E-3</v>
      </c>
      <c r="R61" s="35"/>
    </row>
    <row r="62" spans="1:18" ht="27" customHeight="1"/>
    <row r="63" spans="1:18" ht="16.899999999999999">
      <c r="B63" s="212" t="s">
        <v>165</v>
      </c>
      <c r="C63" s="212"/>
      <c r="D63" s="212"/>
      <c r="E63" s="212"/>
      <c r="F63" s="212"/>
      <c r="G63" s="212"/>
      <c r="H63" s="212"/>
      <c r="I63" s="212"/>
      <c r="J63" s="212"/>
      <c r="K63" s="212"/>
      <c r="L63" s="200"/>
      <c r="M63" s="103"/>
      <c r="N63" s="103"/>
      <c r="O63" s="103"/>
      <c r="P63" s="103"/>
      <c r="Q63" s="200"/>
      <c r="R63" s="34" t="s">
        <v>134</v>
      </c>
    </row>
    <row r="64" spans="1:18" ht="45.75" customHeight="1">
      <c r="B64" s="27" t="s">
        <v>166</v>
      </c>
      <c r="C64" s="149" t="s">
        <v>167</v>
      </c>
      <c r="D64" s="127">
        <v>951917</v>
      </c>
      <c r="E64" s="127">
        <v>969464</v>
      </c>
      <c r="F64" s="3">
        <v>956576</v>
      </c>
      <c r="G64" s="3">
        <v>956977</v>
      </c>
      <c r="H64" s="3">
        <v>1030329</v>
      </c>
      <c r="I64" s="3">
        <v>1121327</v>
      </c>
      <c r="J64" s="3">
        <v>1178514</v>
      </c>
      <c r="K64" s="3">
        <v>1198385</v>
      </c>
      <c r="L64" s="3">
        <v>1221434</v>
      </c>
      <c r="M64" s="3">
        <v>1221434</v>
      </c>
      <c r="N64" s="116">
        <v>1198585.01</v>
      </c>
      <c r="O64" s="3"/>
      <c r="P64" s="3"/>
      <c r="Q64" s="150" t="s">
        <v>168</v>
      </c>
      <c r="R64" s="30" t="s">
        <v>169</v>
      </c>
    </row>
    <row r="65" spans="1:18" ht="15.75">
      <c r="B65" s="126"/>
      <c r="C65" s="164" t="s">
        <v>170</v>
      </c>
      <c r="D65" s="35">
        <f t="shared" ref="D65:N65" si="12">SUM(D64:D64)</f>
        <v>951917</v>
      </c>
      <c r="E65" s="35">
        <f t="shared" si="12"/>
        <v>969464</v>
      </c>
      <c r="F65" s="35">
        <f t="shared" si="12"/>
        <v>956576</v>
      </c>
      <c r="G65" s="35">
        <f t="shared" si="12"/>
        <v>956977</v>
      </c>
      <c r="H65" s="35">
        <f t="shared" si="12"/>
        <v>1030329</v>
      </c>
      <c r="I65" s="35">
        <f t="shared" si="12"/>
        <v>1121327</v>
      </c>
      <c r="J65" s="35">
        <f t="shared" si="12"/>
        <v>1178514</v>
      </c>
      <c r="K65" s="35">
        <f t="shared" si="12"/>
        <v>1198385</v>
      </c>
      <c r="L65" s="35">
        <f t="shared" si="12"/>
        <v>1221434</v>
      </c>
      <c r="M65" s="35">
        <f t="shared" si="12"/>
        <v>1221434</v>
      </c>
      <c r="N65" s="35">
        <f t="shared" si="12"/>
        <v>1198585.01</v>
      </c>
      <c r="O65" s="35">
        <f>M65-(M65*0.05)</f>
        <v>1160362.3</v>
      </c>
      <c r="P65" s="35">
        <f>M65-(M65*0.1)</f>
        <v>1099290.6000000001</v>
      </c>
      <c r="Q65" s="112">
        <f>N65/K65-1</f>
        <v>1.6689961907068174E-4</v>
      </c>
      <c r="R65" s="35"/>
    </row>
    <row r="66" spans="1:18" ht="30" customHeight="1">
      <c r="B66" s="126"/>
      <c r="C66" s="160"/>
      <c r="D66" s="145"/>
      <c r="E66" s="145"/>
      <c r="F66" s="21"/>
      <c r="G66" s="145"/>
      <c r="H66" s="145"/>
      <c r="I66" s="145"/>
      <c r="J66" s="145"/>
      <c r="K66" s="145"/>
      <c r="L66" s="145"/>
      <c r="M66" s="145"/>
      <c r="N66" s="145"/>
      <c r="O66" s="145"/>
      <c r="P66" s="145"/>
      <c r="Q66" s="160"/>
      <c r="R66" s="146"/>
    </row>
    <row r="67" spans="1:18" ht="16.899999999999999">
      <c r="B67" s="212" t="s">
        <v>171</v>
      </c>
      <c r="C67" s="212"/>
      <c r="D67" s="212"/>
      <c r="E67" s="212"/>
      <c r="F67" s="212"/>
      <c r="G67" s="212"/>
      <c r="H67" s="212"/>
      <c r="I67" s="212"/>
      <c r="J67" s="212"/>
      <c r="K67" s="212"/>
      <c r="L67" s="200"/>
      <c r="M67" s="103"/>
      <c r="N67" s="103"/>
      <c r="O67" s="103"/>
      <c r="P67" s="103"/>
      <c r="Q67" s="200"/>
      <c r="R67" s="34" t="s">
        <v>134</v>
      </c>
    </row>
    <row r="68" spans="1:18" ht="42.75">
      <c r="B68" s="128" t="s">
        <v>172</v>
      </c>
      <c r="C68" s="201" t="s">
        <v>173</v>
      </c>
      <c r="D68" s="137">
        <v>16097</v>
      </c>
      <c r="E68" s="137">
        <v>15801</v>
      </c>
      <c r="F68" s="4">
        <v>17253</v>
      </c>
      <c r="G68" s="7">
        <v>17488</v>
      </c>
      <c r="H68" s="7">
        <v>11181</v>
      </c>
      <c r="I68" s="7">
        <v>13005</v>
      </c>
      <c r="J68" s="7">
        <v>12963</v>
      </c>
      <c r="K68" s="7">
        <v>14805</v>
      </c>
      <c r="L68" s="7">
        <v>14780</v>
      </c>
      <c r="M68" s="7">
        <v>14979</v>
      </c>
      <c r="N68" s="116">
        <v>14116.299377750001</v>
      </c>
      <c r="O68" s="7"/>
      <c r="P68" s="7"/>
      <c r="Q68" s="181" t="s">
        <v>19</v>
      </c>
      <c r="R68" s="131" t="s">
        <v>174</v>
      </c>
    </row>
    <row r="69" spans="1:18" ht="42.75">
      <c r="B69" s="27" t="s">
        <v>175</v>
      </c>
      <c r="C69" s="149" t="s">
        <v>176</v>
      </c>
      <c r="D69" s="147">
        <v>11020</v>
      </c>
      <c r="E69" s="147">
        <v>18580</v>
      </c>
      <c r="F69" s="3">
        <v>27190</v>
      </c>
      <c r="G69" s="3">
        <v>27470</v>
      </c>
      <c r="H69" s="3">
        <v>25420</v>
      </c>
      <c r="I69" s="3">
        <v>42381</v>
      </c>
      <c r="J69" s="3">
        <v>40318</v>
      </c>
      <c r="K69" s="3">
        <v>48151</v>
      </c>
      <c r="L69" s="7">
        <v>48651</v>
      </c>
      <c r="M69" s="3">
        <v>49188</v>
      </c>
      <c r="N69" s="116">
        <v>45554.254165749997</v>
      </c>
      <c r="O69" s="3"/>
      <c r="P69" s="3"/>
      <c r="Q69" s="181" t="s">
        <v>19</v>
      </c>
      <c r="R69" s="30" t="s">
        <v>177</v>
      </c>
    </row>
    <row r="70" spans="1:18" ht="42.75">
      <c r="B70" s="128" t="s">
        <v>178</v>
      </c>
      <c r="C70" s="201" t="s">
        <v>179</v>
      </c>
      <c r="D70" s="137">
        <v>19656</v>
      </c>
      <c r="E70" s="137">
        <v>21868</v>
      </c>
      <c r="F70" s="4">
        <v>25149</v>
      </c>
      <c r="G70" s="7">
        <v>25563</v>
      </c>
      <c r="H70" s="7">
        <v>25952</v>
      </c>
      <c r="I70" s="7">
        <v>30048</v>
      </c>
      <c r="J70" s="7">
        <f>29772+600</f>
        <v>30372</v>
      </c>
      <c r="K70" s="7">
        <v>34160</v>
      </c>
      <c r="L70" s="7">
        <v>34015</v>
      </c>
      <c r="M70" s="7">
        <v>34500</v>
      </c>
      <c r="N70" s="116">
        <v>32076.945684000002</v>
      </c>
      <c r="O70" s="7"/>
      <c r="P70" s="7"/>
      <c r="Q70" s="181" t="s">
        <v>19</v>
      </c>
      <c r="R70" s="131" t="s">
        <v>180</v>
      </c>
    </row>
    <row r="71" spans="1:18" ht="42.75">
      <c r="B71" s="27" t="s">
        <v>181</v>
      </c>
      <c r="C71" s="149" t="s">
        <v>182</v>
      </c>
      <c r="D71" s="138">
        <v>5000</v>
      </c>
      <c r="E71" s="138">
        <v>3742</v>
      </c>
      <c r="F71" s="3">
        <v>5600</v>
      </c>
      <c r="G71" s="3">
        <v>5600</v>
      </c>
      <c r="H71" s="3">
        <v>5600</v>
      </c>
      <c r="I71" s="3">
        <v>5080</v>
      </c>
      <c r="J71" s="3">
        <v>13860</v>
      </c>
      <c r="K71" s="3">
        <f>4590+9000</f>
        <v>13590</v>
      </c>
      <c r="L71" s="3">
        <v>13720</v>
      </c>
      <c r="M71" s="3">
        <v>13720</v>
      </c>
      <c r="N71" s="116">
        <v>12320</v>
      </c>
      <c r="O71" s="3"/>
      <c r="P71" s="3"/>
      <c r="Q71" s="150"/>
      <c r="R71" s="30" t="s">
        <v>183</v>
      </c>
    </row>
    <row r="72" spans="1:18" ht="28.5">
      <c r="B72" s="128" t="s">
        <v>184</v>
      </c>
      <c r="C72" s="201" t="s">
        <v>185</v>
      </c>
      <c r="D72" s="137"/>
      <c r="E72" s="137"/>
      <c r="F72" s="4">
        <v>600</v>
      </c>
      <c r="G72" s="7">
        <v>600</v>
      </c>
      <c r="H72" s="7">
        <v>100</v>
      </c>
      <c r="I72" s="7">
        <v>600</v>
      </c>
      <c r="J72" s="7">
        <v>3050</v>
      </c>
      <c r="K72" s="7">
        <v>3050</v>
      </c>
      <c r="L72" s="7">
        <v>3350</v>
      </c>
      <c r="M72" s="7">
        <v>3350</v>
      </c>
      <c r="N72" s="116">
        <v>2975</v>
      </c>
      <c r="O72" s="7"/>
      <c r="P72" s="7"/>
      <c r="Q72" s="201"/>
      <c r="R72" s="131" t="s">
        <v>186</v>
      </c>
    </row>
    <row r="73" spans="1:18" ht="47.25" customHeight="1">
      <c r="B73" s="27" t="s">
        <v>187</v>
      </c>
      <c r="C73" s="162" t="s">
        <v>188</v>
      </c>
      <c r="D73" s="138">
        <v>5000</v>
      </c>
      <c r="E73" s="3">
        <v>5000</v>
      </c>
      <c r="F73" s="3">
        <v>6000</v>
      </c>
      <c r="G73" s="3">
        <v>5500</v>
      </c>
      <c r="H73" s="3">
        <v>6000</v>
      </c>
      <c r="I73" s="3">
        <v>7000</v>
      </c>
      <c r="J73" s="3">
        <v>5000</v>
      </c>
      <c r="K73" s="3">
        <v>5000</v>
      </c>
      <c r="L73" s="3">
        <v>5000</v>
      </c>
      <c r="M73" s="3"/>
      <c r="N73" s="3"/>
      <c r="O73" s="3"/>
      <c r="P73" s="3"/>
      <c r="Q73" s="150"/>
      <c r="R73" s="30" t="s">
        <v>189</v>
      </c>
    </row>
    <row r="74" spans="1:18" ht="15.75">
      <c r="B74" s="126"/>
      <c r="C74" s="164" t="s">
        <v>190</v>
      </c>
      <c r="D74" s="35">
        <f t="shared" ref="D74:M74" si="13">SUM(D68:D73)</f>
        <v>56773</v>
      </c>
      <c r="E74" s="35">
        <f t="shared" si="13"/>
        <v>64991</v>
      </c>
      <c r="F74" s="35">
        <f t="shared" si="13"/>
        <v>81792</v>
      </c>
      <c r="G74" s="35">
        <f t="shared" si="13"/>
        <v>82221</v>
      </c>
      <c r="H74" s="35">
        <f t="shared" si="13"/>
        <v>74253</v>
      </c>
      <c r="I74" s="35">
        <f t="shared" si="13"/>
        <v>98114</v>
      </c>
      <c r="J74" s="35">
        <f>SUM(J68:J73)</f>
        <v>105563</v>
      </c>
      <c r="K74" s="35">
        <f t="shared" si="13"/>
        <v>118756</v>
      </c>
      <c r="L74" s="35">
        <f t="shared" si="13"/>
        <v>119516</v>
      </c>
      <c r="M74" s="35">
        <f t="shared" si="13"/>
        <v>115737</v>
      </c>
      <c r="N74" s="35">
        <f>SUM(N68:N73)</f>
        <v>107042.4992275</v>
      </c>
      <c r="O74" s="35">
        <f>M74-(M74*0.05)</f>
        <v>109950.15</v>
      </c>
      <c r="P74" s="35">
        <f>M74-(M74*0.1)</f>
        <v>104163.3</v>
      </c>
      <c r="Q74" s="112">
        <f>N74/K74-1</f>
        <v>-9.863502284095127E-2</v>
      </c>
      <c r="R74" s="35"/>
    </row>
    <row r="75" spans="1:18" ht="23.25" customHeight="1"/>
    <row r="76" spans="1:18" ht="20.25" customHeight="1">
      <c r="A76" s="125">
        <v>45</v>
      </c>
      <c r="B76" s="211" t="s">
        <v>191</v>
      </c>
      <c r="C76" s="211"/>
      <c r="D76" s="50"/>
      <c r="E76" s="50"/>
      <c r="F76" s="51"/>
      <c r="G76" s="51"/>
      <c r="H76" s="51"/>
      <c r="I76" s="51"/>
      <c r="J76" s="51"/>
      <c r="K76" s="51"/>
      <c r="L76" s="51"/>
      <c r="M76" s="51"/>
      <c r="N76" s="51"/>
      <c r="O76" s="51"/>
      <c r="P76" s="51"/>
      <c r="Q76" s="166"/>
      <c r="R76" s="49" t="s">
        <v>192</v>
      </c>
    </row>
    <row r="77" spans="1:18" ht="42.75">
      <c r="A77" s="125">
        <v>42</v>
      </c>
      <c r="B77" s="27" t="s">
        <v>193</v>
      </c>
      <c r="C77" s="149" t="s">
        <v>194</v>
      </c>
      <c r="D77" s="127">
        <v>141086</v>
      </c>
      <c r="E77" s="127">
        <v>145373</v>
      </c>
      <c r="F77" s="3">
        <v>113029</v>
      </c>
      <c r="G77" s="3">
        <v>114561</v>
      </c>
      <c r="H77" s="3">
        <v>115365</v>
      </c>
      <c r="I77" s="3">
        <v>134539</v>
      </c>
      <c r="J77" s="3">
        <v>143635</v>
      </c>
      <c r="K77" s="3">
        <v>154241</v>
      </c>
      <c r="L77" s="3">
        <v>153141</v>
      </c>
      <c r="M77" s="3">
        <v>155207</v>
      </c>
      <c r="N77" s="116">
        <v>148117.38235</v>
      </c>
      <c r="O77" s="3"/>
      <c r="P77" s="3"/>
      <c r="Q77" s="181" t="s">
        <v>19</v>
      </c>
      <c r="R77" s="30" t="s">
        <v>195</v>
      </c>
    </row>
    <row r="78" spans="1:18" ht="42.75">
      <c r="A78" s="125">
        <v>41</v>
      </c>
      <c r="B78" s="128" t="s">
        <v>196</v>
      </c>
      <c r="C78" s="201" t="s">
        <v>197</v>
      </c>
      <c r="D78" s="129">
        <v>2000</v>
      </c>
      <c r="E78" s="129">
        <v>2000</v>
      </c>
      <c r="F78" s="4">
        <v>2500</v>
      </c>
      <c r="G78" s="7">
        <v>2500</v>
      </c>
      <c r="H78" s="7">
        <v>2500</v>
      </c>
      <c r="I78" s="7">
        <v>1700</v>
      </c>
      <c r="J78" s="7">
        <v>1700</v>
      </c>
      <c r="K78" s="7">
        <v>1500</v>
      </c>
      <c r="L78" s="7">
        <v>2000</v>
      </c>
      <c r="M78" s="7">
        <v>2000</v>
      </c>
      <c r="N78" s="7">
        <v>2000</v>
      </c>
      <c r="O78" s="7"/>
      <c r="P78" s="7"/>
      <c r="Q78" s="182"/>
      <c r="R78" s="131" t="s">
        <v>198</v>
      </c>
    </row>
    <row r="79" spans="1:18" ht="42.75">
      <c r="A79" s="125">
        <v>44</v>
      </c>
      <c r="B79" s="27" t="s">
        <v>199</v>
      </c>
      <c r="C79" s="149" t="s">
        <v>200</v>
      </c>
      <c r="D79" s="127">
        <v>2325</v>
      </c>
      <c r="E79" s="127">
        <v>4725</v>
      </c>
      <c r="F79" s="3">
        <v>15531</v>
      </c>
      <c r="G79" s="3">
        <v>15531</v>
      </c>
      <c r="H79" s="3">
        <v>14950</v>
      </c>
      <c r="I79" s="3">
        <v>15150</v>
      </c>
      <c r="J79" s="3">
        <v>14875</v>
      </c>
      <c r="K79" s="3">
        <v>16080</v>
      </c>
      <c r="L79" s="3">
        <v>16550</v>
      </c>
      <c r="M79" s="3">
        <v>16550</v>
      </c>
      <c r="N79" s="3">
        <v>16550</v>
      </c>
      <c r="O79" s="3"/>
      <c r="P79" s="3"/>
      <c r="Q79" s="150"/>
      <c r="R79" s="30" t="s">
        <v>201</v>
      </c>
    </row>
    <row r="80" spans="1:18" ht="42.75">
      <c r="A80" s="125">
        <v>43</v>
      </c>
      <c r="B80" s="128" t="s">
        <v>202</v>
      </c>
      <c r="C80" s="201" t="s">
        <v>203</v>
      </c>
      <c r="D80" s="137">
        <v>2200</v>
      </c>
      <c r="E80" s="137">
        <v>1000</v>
      </c>
      <c r="F80" s="4">
        <v>1500</v>
      </c>
      <c r="G80" s="7">
        <v>1500</v>
      </c>
      <c r="H80" s="7">
        <v>1500</v>
      </c>
      <c r="I80" s="7">
        <v>1500</v>
      </c>
      <c r="J80" s="7">
        <v>1500</v>
      </c>
      <c r="K80" s="7">
        <v>1500</v>
      </c>
      <c r="L80" s="7">
        <v>2000</v>
      </c>
      <c r="M80" s="7">
        <v>2000</v>
      </c>
      <c r="N80" s="7">
        <v>2000</v>
      </c>
      <c r="O80" s="7"/>
      <c r="P80" s="7"/>
      <c r="Q80" s="182"/>
      <c r="R80" s="131" t="s">
        <v>204</v>
      </c>
    </row>
    <row r="81" spans="2:18" ht="42.75">
      <c r="B81" s="27" t="s">
        <v>205</v>
      </c>
      <c r="C81" s="149" t="s">
        <v>206</v>
      </c>
      <c r="D81" s="127">
        <v>400</v>
      </c>
      <c r="E81" s="127">
        <v>400</v>
      </c>
      <c r="F81" s="3">
        <v>700</v>
      </c>
      <c r="G81" s="3">
        <v>700</v>
      </c>
      <c r="H81" s="3">
        <v>700</v>
      </c>
      <c r="I81" s="3">
        <v>1500</v>
      </c>
      <c r="J81" s="3">
        <v>5400</v>
      </c>
      <c r="K81" s="3">
        <v>5600</v>
      </c>
      <c r="L81" s="12">
        <v>5600</v>
      </c>
      <c r="M81" s="3">
        <v>5600</v>
      </c>
      <c r="N81" s="3">
        <v>5600</v>
      </c>
      <c r="O81" s="3"/>
      <c r="P81" s="3"/>
      <c r="Q81" s="150"/>
      <c r="R81" s="30" t="s">
        <v>207</v>
      </c>
    </row>
    <row r="82" spans="2:18" ht="30.75" customHeight="1">
      <c r="B82" s="143" t="s">
        <v>208</v>
      </c>
      <c r="C82" s="32" t="s">
        <v>209</v>
      </c>
      <c r="D82" s="137"/>
      <c r="E82" s="137">
        <v>750</v>
      </c>
      <c r="F82" s="12">
        <v>750</v>
      </c>
      <c r="G82" s="12">
        <v>750</v>
      </c>
      <c r="H82" s="12">
        <v>750</v>
      </c>
      <c r="I82" s="12">
        <v>750</v>
      </c>
      <c r="J82" s="12">
        <v>750</v>
      </c>
      <c r="K82" s="12">
        <v>750</v>
      </c>
      <c r="L82" s="12">
        <v>750</v>
      </c>
      <c r="M82" s="12">
        <v>750</v>
      </c>
      <c r="N82" s="12">
        <v>750</v>
      </c>
      <c r="O82" s="12"/>
      <c r="P82" s="12"/>
      <c r="Q82" s="181"/>
      <c r="R82" s="148" t="s">
        <v>210</v>
      </c>
    </row>
    <row r="83" spans="2:18" ht="16.899999999999999" customHeight="1">
      <c r="B83" s="27" t="s">
        <v>211</v>
      </c>
      <c r="C83" s="149" t="s">
        <v>212</v>
      </c>
      <c r="D83" s="28">
        <v>3000</v>
      </c>
      <c r="E83" s="28">
        <v>3500</v>
      </c>
      <c r="F83" s="28">
        <v>3500</v>
      </c>
      <c r="G83" s="3">
        <v>3500</v>
      </c>
      <c r="H83" s="3">
        <v>4110</v>
      </c>
      <c r="I83" s="3">
        <v>4280</v>
      </c>
      <c r="J83" s="3">
        <v>4310</v>
      </c>
      <c r="K83" s="3">
        <v>4200</v>
      </c>
      <c r="L83" s="3">
        <v>4200</v>
      </c>
      <c r="M83" s="3">
        <v>4200</v>
      </c>
      <c r="N83" s="3">
        <v>4200</v>
      </c>
      <c r="O83" s="3"/>
      <c r="P83" s="3"/>
      <c r="Q83" s="150"/>
      <c r="R83" s="30" t="s">
        <v>213</v>
      </c>
    </row>
    <row r="84" spans="2:18" hidden="1">
      <c r="B84" s="128" t="s">
        <v>214</v>
      </c>
      <c r="C84" s="201" t="s">
        <v>215</v>
      </c>
      <c r="D84" s="137"/>
      <c r="E84" s="137"/>
      <c r="F84" s="4"/>
      <c r="G84" s="4"/>
      <c r="H84" s="4"/>
      <c r="I84" s="7"/>
      <c r="J84" s="7"/>
      <c r="K84" s="7">
        <v>0</v>
      </c>
      <c r="L84" s="7"/>
      <c r="M84" s="7">
        <v>0</v>
      </c>
      <c r="N84" s="7"/>
      <c r="O84" s="7"/>
      <c r="P84" s="7"/>
      <c r="Q84" s="201"/>
      <c r="R84" s="131" t="s">
        <v>216</v>
      </c>
    </row>
    <row r="85" spans="2:18" ht="15.75">
      <c r="B85" s="126"/>
      <c r="C85" s="165" t="s">
        <v>217</v>
      </c>
      <c r="D85" s="44">
        <f t="shared" ref="D85:M85" si="14">SUM(D77:D84)</f>
        <v>151011</v>
      </c>
      <c r="E85" s="44">
        <f t="shared" si="14"/>
        <v>157748</v>
      </c>
      <c r="F85" s="44">
        <f t="shared" si="14"/>
        <v>137510</v>
      </c>
      <c r="G85" s="44">
        <f t="shared" si="14"/>
        <v>139042</v>
      </c>
      <c r="H85" s="44">
        <f t="shared" si="14"/>
        <v>139875</v>
      </c>
      <c r="I85" s="44">
        <f t="shared" si="14"/>
        <v>159419</v>
      </c>
      <c r="J85" s="44">
        <f t="shared" si="14"/>
        <v>172170</v>
      </c>
      <c r="K85" s="44">
        <f t="shared" si="14"/>
        <v>183871</v>
      </c>
      <c r="L85" s="44">
        <f t="shared" si="14"/>
        <v>184241</v>
      </c>
      <c r="M85" s="44">
        <f t="shared" si="14"/>
        <v>186307</v>
      </c>
      <c r="N85" s="44">
        <f t="shared" ref="N85" si="15">SUM(N77:N84)</f>
        <v>179217.38235</v>
      </c>
      <c r="O85" s="44">
        <f>M85-(M85*0.05)</f>
        <v>176991.65</v>
      </c>
      <c r="P85" s="44">
        <f>M85-(M85*0.1)</f>
        <v>167676.29999999999</v>
      </c>
      <c r="Q85" s="113">
        <f>N85/K85-1</f>
        <v>-2.5309144182606325E-2</v>
      </c>
      <c r="R85" s="46"/>
    </row>
    <row r="86" spans="2:18" ht="34.9" customHeight="1">
      <c r="B86" s="126"/>
      <c r="C86" s="160"/>
      <c r="D86" s="145"/>
      <c r="E86" s="145"/>
      <c r="F86" s="21"/>
      <c r="G86" s="145"/>
      <c r="H86" s="145"/>
      <c r="I86" s="145"/>
      <c r="J86" s="145"/>
      <c r="K86" s="145"/>
      <c r="L86" s="145"/>
      <c r="M86" s="145"/>
      <c r="N86" s="145"/>
      <c r="O86" s="145"/>
      <c r="P86" s="145"/>
      <c r="Q86" s="188"/>
      <c r="R86" s="146"/>
    </row>
    <row r="87" spans="2:18" ht="16.899999999999999">
      <c r="B87" s="47" t="s">
        <v>218</v>
      </c>
      <c r="C87" s="166"/>
      <c r="D87" s="48"/>
      <c r="E87" s="48"/>
      <c r="F87" s="48"/>
      <c r="G87" s="48"/>
      <c r="H87" s="48"/>
      <c r="I87" s="48"/>
      <c r="J87" s="48"/>
      <c r="K87" s="48"/>
      <c r="L87" s="48"/>
      <c r="M87" s="48"/>
      <c r="N87" s="48"/>
      <c r="O87" s="48"/>
      <c r="P87" s="48"/>
      <c r="Q87" s="166"/>
      <c r="R87" s="49" t="s">
        <v>192</v>
      </c>
    </row>
    <row r="88" spans="2:18" ht="42.75">
      <c r="B88" s="27" t="s">
        <v>219</v>
      </c>
      <c r="C88" s="149" t="s">
        <v>220</v>
      </c>
      <c r="D88" s="28"/>
      <c r="E88" s="28">
        <v>750</v>
      </c>
      <c r="F88" s="26">
        <v>950</v>
      </c>
      <c r="G88" s="26">
        <v>950</v>
      </c>
      <c r="H88" s="26">
        <v>850</v>
      </c>
      <c r="I88" s="26">
        <v>850</v>
      </c>
      <c r="J88" s="26">
        <v>700</v>
      </c>
      <c r="K88" s="26">
        <v>700</v>
      </c>
      <c r="L88" s="26">
        <v>700</v>
      </c>
      <c r="M88" s="26">
        <v>700</v>
      </c>
      <c r="N88" s="26">
        <v>700</v>
      </c>
      <c r="O88" s="26"/>
      <c r="P88" s="26"/>
      <c r="Q88" s="150"/>
      <c r="R88" s="30" t="s">
        <v>221</v>
      </c>
    </row>
    <row r="89" spans="2:18" ht="42.75">
      <c r="B89" s="128" t="s">
        <v>222</v>
      </c>
      <c r="C89" s="201" t="s">
        <v>223</v>
      </c>
      <c r="D89" s="137">
        <f>12879-5877</f>
        <v>7002</v>
      </c>
      <c r="E89" s="137">
        <v>6995</v>
      </c>
      <c r="F89" s="8">
        <v>8095</v>
      </c>
      <c r="G89" s="9">
        <v>8095</v>
      </c>
      <c r="H89" s="9">
        <v>8095</v>
      </c>
      <c r="I89" s="9">
        <v>8095</v>
      </c>
      <c r="J89" s="9">
        <v>8400</v>
      </c>
      <c r="K89" s="9">
        <v>7440</v>
      </c>
      <c r="L89" s="26">
        <v>8390</v>
      </c>
      <c r="M89" s="9">
        <v>7840</v>
      </c>
      <c r="N89" s="9">
        <v>7840</v>
      </c>
      <c r="O89" s="9"/>
      <c r="P89" s="9"/>
      <c r="Q89" s="201"/>
      <c r="R89" s="131" t="s">
        <v>224</v>
      </c>
    </row>
    <row r="90" spans="2:18" ht="28.5">
      <c r="B90" s="27" t="s">
        <v>225</v>
      </c>
      <c r="C90" s="149" t="s">
        <v>226</v>
      </c>
      <c r="D90" s="127">
        <f>9298-7328</f>
        <v>1970</v>
      </c>
      <c r="E90" s="127">
        <v>1885</v>
      </c>
      <c r="F90" s="25">
        <v>2890</v>
      </c>
      <c r="G90" s="25">
        <v>2890</v>
      </c>
      <c r="H90" s="25">
        <v>2890</v>
      </c>
      <c r="I90" s="25">
        <v>3040</v>
      </c>
      <c r="J90" s="25">
        <v>2990</v>
      </c>
      <c r="K90" s="25">
        <v>2990</v>
      </c>
      <c r="L90" s="28">
        <v>2840</v>
      </c>
      <c r="M90" s="25">
        <v>2840</v>
      </c>
      <c r="N90" s="25">
        <v>2840</v>
      </c>
      <c r="O90" s="127"/>
      <c r="P90" s="127"/>
      <c r="Q90" s="189"/>
      <c r="R90" s="42" t="s">
        <v>227</v>
      </c>
    </row>
    <row r="91" spans="2:18" ht="42.75">
      <c r="B91" s="27" t="s">
        <v>228</v>
      </c>
      <c r="C91" s="149" t="s">
        <v>229</v>
      </c>
      <c r="D91" s="127">
        <v>1915</v>
      </c>
      <c r="E91" s="127">
        <v>1730</v>
      </c>
      <c r="F91" s="3">
        <v>2160</v>
      </c>
      <c r="G91" s="3">
        <v>2160</v>
      </c>
      <c r="H91" s="3">
        <v>1500</v>
      </c>
      <c r="I91" s="3">
        <v>1540</v>
      </c>
      <c r="J91" s="3">
        <v>2500</v>
      </c>
      <c r="K91" s="3">
        <v>2830</v>
      </c>
      <c r="L91" s="12">
        <v>3450</v>
      </c>
      <c r="M91" s="3">
        <v>2880</v>
      </c>
      <c r="N91" s="3">
        <v>2880</v>
      </c>
      <c r="O91" s="3"/>
      <c r="P91" s="3"/>
      <c r="Q91" s="150"/>
      <c r="R91" s="30" t="s">
        <v>230</v>
      </c>
    </row>
    <row r="92" spans="2:18" ht="31.9" customHeight="1">
      <c r="B92" s="128" t="s">
        <v>231</v>
      </c>
      <c r="C92" s="201" t="s">
        <v>232</v>
      </c>
      <c r="D92" s="137">
        <f>14870+5877+7328+37.31</f>
        <v>28112.31</v>
      </c>
      <c r="E92" s="137">
        <v>36497</v>
      </c>
      <c r="F92" s="8">
        <v>43776</v>
      </c>
      <c r="G92" s="9">
        <v>49754</v>
      </c>
      <c r="H92" s="9">
        <v>50513</v>
      </c>
      <c r="I92" s="9">
        <v>59740</v>
      </c>
      <c r="J92" s="9">
        <v>61120</v>
      </c>
      <c r="K92" s="9">
        <v>70108</v>
      </c>
      <c r="L92" s="26">
        <v>71215</v>
      </c>
      <c r="M92" s="9">
        <v>71330</v>
      </c>
      <c r="N92" s="118">
        <f>82844</f>
        <v>82844</v>
      </c>
      <c r="O92" s="9"/>
      <c r="P92" s="9"/>
      <c r="Q92" s="181" t="s">
        <v>233</v>
      </c>
      <c r="R92" s="131" t="s">
        <v>234</v>
      </c>
    </row>
    <row r="93" spans="2:18" ht="45.75" customHeight="1">
      <c r="B93" s="27" t="s">
        <v>235</v>
      </c>
      <c r="C93" s="149" t="s">
        <v>236</v>
      </c>
      <c r="D93" s="202">
        <v>2250</v>
      </c>
      <c r="E93" s="202">
        <v>2020</v>
      </c>
      <c r="F93" s="202">
        <v>3191</v>
      </c>
      <c r="G93" s="202">
        <v>3191</v>
      </c>
      <c r="H93" s="202">
        <v>3191</v>
      </c>
      <c r="I93" s="202">
        <v>3191</v>
      </c>
      <c r="J93" s="202">
        <v>3150</v>
      </c>
      <c r="K93" s="25">
        <v>2900</v>
      </c>
      <c r="L93" s="28">
        <v>2700</v>
      </c>
      <c r="M93" s="117">
        <v>2700</v>
      </c>
      <c r="N93" s="117">
        <v>2700</v>
      </c>
      <c r="O93" s="127"/>
      <c r="P93" s="127"/>
      <c r="Q93" s="149"/>
      <c r="R93" s="150" t="s">
        <v>237</v>
      </c>
    </row>
    <row r="94" spans="2:18" ht="15.75">
      <c r="B94" s="126"/>
      <c r="C94" s="165" t="s">
        <v>238</v>
      </c>
      <c r="D94" s="55">
        <f t="shared" ref="D94:J94" si="16">SUM(D88:D93)</f>
        <v>41249.31</v>
      </c>
      <c r="E94" s="55">
        <f t="shared" si="16"/>
        <v>49877</v>
      </c>
      <c r="F94" s="55">
        <f t="shared" si="16"/>
        <v>61062</v>
      </c>
      <c r="G94" s="55">
        <f t="shared" si="16"/>
        <v>67040</v>
      </c>
      <c r="H94" s="55">
        <f t="shared" si="16"/>
        <v>67039</v>
      </c>
      <c r="I94" s="55">
        <f t="shared" si="16"/>
        <v>76456</v>
      </c>
      <c r="J94" s="55">
        <f t="shared" si="16"/>
        <v>78860</v>
      </c>
      <c r="K94" s="55">
        <f>SUM(K88:K93)</f>
        <v>86968</v>
      </c>
      <c r="L94" s="55">
        <f>SUM(L88:L93)</f>
        <v>89295</v>
      </c>
      <c r="M94" s="55">
        <f>SUM(M88:M93)</f>
        <v>88290</v>
      </c>
      <c r="N94" s="55">
        <f>SUM(N88:N93)</f>
        <v>99804</v>
      </c>
      <c r="O94" s="44">
        <f>M94-(M94*0.05)</f>
        <v>83875.5</v>
      </c>
      <c r="P94" s="44">
        <f>M94-(M94*0.1)</f>
        <v>79461</v>
      </c>
      <c r="Q94" s="45">
        <f>N94/K94-1</f>
        <v>0.1475945175236868</v>
      </c>
      <c r="R94" s="43"/>
    </row>
    <row r="95" spans="2:18" ht="31.9" customHeight="1"/>
    <row r="96" spans="2:18" ht="16.899999999999999">
      <c r="B96" s="210" t="s">
        <v>239</v>
      </c>
      <c r="C96" s="210"/>
      <c r="D96" s="39"/>
      <c r="E96" s="39"/>
      <c r="F96" s="40"/>
      <c r="G96" s="40"/>
      <c r="H96" s="40"/>
      <c r="I96" s="40"/>
      <c r="J96" s="40"/>
      <c r="K96" s="40"/>
      <c r="L96" s="40"/>
      <c r="M96" s="40"/>
      <c r="N96" s="40"/>
      <c r="O96" s="40"/>
      <c r="P96" s="40"/>
      <c r="Q96" s="190"/>
      <c r="R96" s="41" t="s">
        <v>240</v>
      </c>
    </row>
    <row r="97" spans="2:18" ht="28.5">
      <c r="B97" s="128" t="s">
        <v>241</v>
      </c>
      <c r="C97" s="201" t="s">
        <v>242</v>
      </c>
      <c r="D97" s="137">
        <v>10650</v>
      </c>
      <c r="E97" s="137">
        <v>12917</v>
      </c>
      <c r="F97" s="4"/>
      <c r="G97" s="7">
        <v>17300</v>
      </c>
      <c r="H97" s="7">
        <v>17300</v>
      </c>
      <c r="I97" s="7">
        <v>16875</v>
      </c>
      <c r="J97" s="7">
        <v>14500</v>
      </c>
      <c r="K97" s="7">
        <v>15500</v>
      </c>
      <c r="L97" s="7">
        <v>21320</v>
      </c>
      <c r="M97" s="7">
        <v>21320</v>
      </c>
      <c r="N97" s="7">
        <v>21320</v>
      </c>
      <c r="O97" s="7"/>
      <c r="P97" s="7"/>
      <c r="Q97" s="191" t="s">
        <v>243</v>
      </c>
      <c r="R97" s="131" t="s">
        <v>244</v>
      </c>
    </row>
    <row r="98" spans="2:18" ht="42.75">
      <c r="B98" s="27" t="s">
        <v>245</v>
      </c>
      <c r="C98" s="149" t="s">
        <v>246</v>
      </c>
      <c r="D98" s="147">
        <v>6000</v>
      </c>
      <c r="E98" s="147">
        <v>6000</v>
      </c>
      <c r="F98" s="3">
        <v>6000</v>
      </c>
      <c r="G98" s="3">
        <v>9000</v>
      </c>
      <c r="H98" s="3">
        <v>9000</v>
      </c>
      <c r="I98" s="3">
        <v>8650</v>
      </c>
      <c r="J98" s="3">
        <v>10630</v>
      </c>
      <c r="K98" s="3">
        <v>10630</v>
      </c>
      <c r="L98" s="7">
        <v>12380</v>
      </c>
      <c r="M98" s="3">
        <v>12380</v>
      </c>
      <c r="N98" s="3">
        <v>12380</v>
      </c>
      <c r="O98" s="3"/>
      <c r="P98" s="3"/>
      <c r="Q98" s="181" t="s">
        <v>247</v>
      </c>
      <c r="R98" s="30" t="s">
        <v>248</v>
      </c>
    </row>
    <row r="99" spans="2:18" ht="42.75">
      <c r="B99" s="128" t="s">
        <v>249</v>
      </c>
      <c r="C99" s="201" t="s">
        <v>250</v>
      </c>
      <c r="D99" s="137">
        <v>67048</v>
      </c>
      <c r="E99" s="137">
        <v>66431</v>
      </c>
      <c r="F99" s="4">
        <v>143631</v>
      </c>
      <c r="G99" s="7">
        <v>149047</v>
      </c>
      <c r="H99" s="7">
        <v>177276</v>
      </c>
      <c r="I99" s="7">
        <v>182817</v>
      </c>
      <c r="J99" s="7">
        <v>197998</v>
      </c>
      <c r="K99" s="7">
        <v>211535</v>
      </c>
      <c r="L99" s="7">
        <v>211395</v>
      </c>
      <c r="M99" s="7">
        <v>212141</v>
      </c>
      <c r="N99" s="116">
        <v>208267.83736075001</v>
      </c>
      <c r="O99" s="7"/>
      <c r="P99" s="7"/>
      <c r="Q99" s="191" t="s">
        <v>19</v>
      </c>
      <c r="R99" s="131" t="s">
        <v>251</v>
      </c>
    </row>
    <row r="100" spans="2:18" ht="42.75">
      <c r="B100" s="27" t="s">
        <v>252</v>
      </c>
      <c r="C100" s="149" t="s">
        <v>253</v>
      </c>
      <c r="D100" s="138">
        <v>25000</v>
      </c>
      <c r="E100" s="138">
        <v>26000</v>
      </c>
      <c r="F100" s="3">
        <v>30000</v>
      </c>
      <c r="G100" s="3">
        <v>30000</v>
      </c>
      <c r="H100" s="3">
        <v>30000</v>
      </c>
      <c r="I100" s="3">
        <v>30000</v>
      </c>
      <c r="J100" s="3">
        <v>30000</v>
      </c>
      <c r="K100" s="3">
        <v>30000</v>
      </c>
      <c r="L100" s="3">
        <v>30000</v>
      </c>
      <c r="M100" s="3">
        <v>30000</v>
      </c>
      <c r="N100" s="3">
        <v>30000</v>
      </c>
      <c r="O100" s="3"/>
      <c r="P100" s="3"/>
      <c r="Q100" s="150"/>
      <c r="R100" s="30" t="s">
        <v>254</v>
      </c>
    </row>
    <row r="101" spans="2:18" ht="42.75">
      <c r="B101" s="128" t="s">
        <v>255</v>
      </c>
      <c r="C101" s="201" t="s">
        <v>256</v>
      </c>
      <c r="D101" s="137">
        <v>500</v>
      </c>
      <c r="E101" s="137">
        <v>0</v>
      </c>
      <c r="F101" s="4">
        <v>1400</v>
      </c>
      <c r="G101" s="7">
        <v>1500</v>
      </c>
      <c r="H101" s="7">
        <v>1500</v>
      </c>
      <c r="I101" s="7">
        <v>1700</v>
      </c>
      <c r="J101" s="7">
        <v>1700</v>
      </c>
      <c r="K101" s="7">
        <v>1700</v>
      </c>
      <c r="L101" s="7">
        <v>1700</v>
      </c>
      <c r="M101" s="7">
        <v>1700</v>
      </c>
      <c r="N101" s="7">
        <v>1300</v>
      </c>
      <c r="O101" s="7"/>
      <c r="P101" s="7"/>
      <c r="Q101" s="201"/>
      <c r="R101" s="131" t="s">
        <v>257</v>
      </c>
    </row>
    <row r="102" spans="2:18" ht="15.75">
      <c r="B102" s="126"/>
      <c r="C102" s="167" t="s">
        <v>258</v>
      </c>
      <c r="D102" s="52">
        <f t="shared" ref="D102:N102" si="17">SUM(D97:D101)</f>
        <v>109198</v>
      </c>
      <c r="E102" s="52">
        <f t="shared" si="17"/>
        <v>111348</v>
      </c>
      <c r="F102" s="53">
        <f t="shared" si="17"/>
        <v>181031</v>
      </c>
      <c r="G102" s="53">
        <f t="shared" si="17"/>
        <v>206847</v>
      </c>
      <c r="H102" s="53">
        <f t="shared" si="17"/>
        <v>235076</v>
      </c>
      <c r="I102" s="53">
        <f t="shared" si="17"/>
        <v>240042</v>
      </c>
      <c r="J102" s="53">
        <f t="shared" si="17"/>
        <v>254828</v>
      </c>
      <c r="K102" s="53">
        <f t="shared" si="17"/>
        <v>269365</v>
      </c>
      <c r="L102" s="53">
        <f t="shared" si="17"/>
        <v>276795</v>
      </c>
      <c r="M102" s="53">
        <f t="shared" si="17"/>
        <v>277541</v>
      </c>
      <c r="N102" s="53">
        <f t="shared" si="17"/>
        <v>273267.83736075001</v>
      </c>
      <c r="O102" s="53">
        <f>M102-(M102*0.05)</f>
        <v>263663.95</v>
      </c>
      <c r="P102" s="53">
        <f>M102-(M102*0.1)</f>
        <v>249786.9</v>
      </c>
      <c r="Q102" s="114">
        <f>N102/K102-1</f>
        <v>1.4489029238208495E-2</v>
      </c>
      <c r="R102" s="54"/>
    </row>
    <row r="103" spans="2:18" ht="31.15" customHeight="1"/>
    <row r="104" spans="2:18" ht="16.899999999999999">
      <c r="B104" s="210" t="s">
        <v>259</v>
      </c>
      <c r="C104" s="210"/>
      <c r="D104" s="39"/>
      <c r="E104" s="39"/>
      <c r="F104" s="40"/>
      <c r="G104" s="40"/>
      <c r="H104" s="40"/>
      <c r="I104" s="40"/>
      <c r="J104" s="40"/>
      <c r="K104" s="40"/>
      <c r="L104" s="40"/>
      <c r="M104" s="40"/>
      <c r="N104" s="40"/>
      <c r="O104" s="40"/>
      <c r="P104" s="40"/>
      <c r="Q104" s="190"/>
      <c r="R104" s="41" t="s">
        <v>240</v>
      </c>
    </row>
    <row r="105" spans="2:18" ht="47.25" customHeight="1">
      <c r="B105" s="27" t="s">
        <v>260</v>
      </c>
      <c r="C105" s="149" t="s">
        <v>261</v>
      </c>
      <c r="D105" s="127">
        <v>2900</v>
      </c>
      <c r="E105" s="127">
        <v>2250</v>
      </c>
      <c r="F105" s="3">
        <v>6600</v>
      </c>
      <c r="G105" s="3">
        <v>5600</v>
      </c>
      <c r="H105" s="3">
        <v>2000</v>
      </c>
      <c r="I105" s="3">
        <v>2150</v>
      </c>
      <c r="J105" s="3">
        <v>5760</v>
      </c>
      <c r="K105" s="3">
        <v>5710</v>
      </c>
      <c r="L105" s="3">
        <v>5760</v>
      </c>
      <c r="M105" s="3">
        <v>5760</v>
      </c>
      <c r="N105" s="3">
        <v>5760</v>
      </c>
      <c r="O105" s="3"/>
      <c r="P105" s="3"/>
      <c r="Q105" s="150"/>
      <c r="R105" s="30" t="s">
        <v>262</v>
      </c>
    </row>
    <row r="106" spans="2:18" ht="26.25" customHeight="1">
      <c r="B106" s="128" t="s">
        <v>263</v>
      </c>
      <c r="C106" s="201" t="s">
        <v>264</v>
      </c>
      <c r="D106" s="137">
        <v>4344</v>
      </c>
      <c r="E106" s="137">
        <v>5300</v>
      </c>
      <c r="F106" s="4">
        <v>6000</v>
      </c>
      <c r="G106" s="7">
        <v>8630</v>
      </c>
      <c r="H106" s="7">
        <v>6000</v>
      </c>
      <c r="I106" s="7">
        <v>6000</v>
      </c>
      <c r="J106" s="7">
        <v>6100</v>
      </c>
      <c r="K106" s="7">
        <v>6100</v>
      </c>
      <c r="L106" s="7">
        <v>6140</v>
      </c>
      <c r="M106" s="7">
        <v>6140</v>
      </c>
      <c r="N106" s="7">
        <v>6140</v>
      </c>
      <c r="O106" s="7"/>
      <c r="P106" s="7"/>
      <c r="Q106" s="182"/>
      <c r="R106" s="139" t="s">
        <v>265</v>
      </c>
    </row>
    <row r="107" spans="2:18" ht="42.75">
      <c r="B107" s="143" t="s">
        <v>266</v>
      </c>
      <c r="C107" s="32" t="s">
        <v>267</v>
      </c>
      <c r="D107" s="137">
        <f>81511+6281</f>
        <v>87792</v>
      </c>
      <c r="E107" s="137">
        <f>88651+6050</f>
        <v>94701</v>
      </c>
      <c r="F107" s="12">
        <f>98757+5700</f>
        <v>104457</v>
      </c>
      <c r="G107" s="12">
        <f>100350+5700</f>
        <v>106050</v>
      </c>
      <c r="H107" s="12">
        <v>148831</v>
      </c>
      <c r="I107" s="12">
        <v>90081</v>
      </c>
      <c r="J107" s="12">
        <v>94400</v>
      </c>
      <c r="K107" s="12">
        <v>111941</v>
      </c>
      <c r="L107" s="12">
        <v>111881</v>
      </c>
      <c r="M107" s="12">
        <v>113635</v>
      </c>
      <c r="N107" s="116">
        <v>108383</v>
      </c>
      <c r="O107" s="12"/>
      <c r="P107" s="12"/>
      <c r="Q107" s="181" t="s">
        <v>19</v>
      </c>
      <c r="R107" s="148" t="s">
        <v>268</v>
      </c>
    </row>
    <row r="108" spans="2:18" ht="42.75">
      <c r="B108" s="27" t="s">
        <v>269</v>
      </c>
      <c r="C108" s="149" t="s">
        <v>270</v>
      </c>
      <c r="D108" s="28">
        <v>1956</v>
      </c>
      <c r="E108" s="28">
        <v>2178</v>
      </c>
      <c r="F108" s="28">
        <v>2910</v>
      </c>
      <c r="G108" s="3">
        <v>4080</v>
      </c>
      <c r="H108" s="3">
        <v>1800</v>
      </c>
      <c r="I108" s="3">
        <v>1950</v>
      </c>
      <c r="J108" s="3">
        <v>1830</v>
      </c>
      <c r="K108" s="3">
        <v>2130</v>
      </c>
      <c r="L108" s="3">
        <v>2295</v>
      </c>
      <c r="M108" s="3">
        <v>2295</v>
      </c>
      <c r="N108" s="3">
        <v>2295</v>
      </c>
      <c r="O108" s="3"/>
      <c r="P108" s="3"/>
      <c r="Q108" s="150"/>
      <c r="R108" s="30" t="s">
        <v>271</v>
      </c>
    </row>
    <row r="109" spans="2:18" ht="40.5" customHeight="1">
      <c r="B109" s="128" t="s">
        <v>272</v>
      </c>
      <c r="C109" s="201" t="s">
        <v>273</v>
      </c>
      <c r="D109" s="137">
        <f>5300+2375</f>
        <v>7675</v>
      </c>
      <c r="E109" s="137">
        <f>2500+5160</f>
        <v>7660</v>
      </c>
      <c r="F109" s="4">
        <f>7282+3500</f>
        <v>10782</v>
      </c>
      <c r="G109" s="4">
        <f>9170+3500</f>
        <v>12670</v>
      </c>
      <c r="H109" s="4">
        <v>7000</v>
      </c>
      <c r="I109" s="7">
        <v>7000</v>
      </c>
      <c r="J109" s="7">
        <v>7040</v>
      </c>
      <c r="K109" s="7">
        <v>7030</v>
      </c>
      <c r="L109" s="7">
        <v>6780</v>
      </c>
      <c r="M109" s="7">
        <v>6780</v>
      </c>
      <c r="N109" s="7">
        <v>6780</v>
      </c>
      <c r="O109" s="7"/>
      <c r="P109" s="7"/>
      <c r="Q109" s="201"/>
      <c r="R109" s="131" t="s">
        <v>274</v>
      </c>
    </row>
    <row r="110" spans="2:18" ht="15.75">
      <c r="B110" s="126"/>
      <c r="C110" s="167" t="s">
        <v>275</v>
      </c>
      <c r="D110" s="52">
        <f t="shared" ref="D110:I110" si="18">SUM(D106:D108)</f>
        <v>94092</v>
      </c>
      <c r="E110" s="52">
        <f t="shared" si="18"/>
        <v>102179</v>
      </c>
      <c r="F110" s="53">
        <f t="shared" si="18"/>
        <v>113367</v>
      </c>
      <c r="G110" s="53">
        <f t="shared" si="18"/>
        <v>118760</v>
      </c>
      <c r="H110" s="53">
        <f t="shared" si="18"/>
        <v>156631</v>
      </c>
      <c r="I110" s="53">
        <f t="shared" si="18"/>
        <v>98031</v>
      </c>
      <c r="J110" s="53">
        <f>SUM(J105:J109)</f>
        <v>115130</v>
      </c>
      <c r="K110" s="53">
        <f>SUM(K105:K109)</f>
        <v>132911</v>
      </c>
      <c r="L110" s="53">
        <f>SUM(L106:L108)</f>
        <v>120316</v>
      </c>
      <c r="M110" s="53">
        <f>SUM(M105:M109)</f>
        <v>134610</v>
      </c>
      <c r="N110" s="53">
        <f>SUM(N105:N109)</f>
        <v>129358</v>
      </c>
      <c r="O110" s="53">
        <f>M110-(M110*0.05)</f>
        <v>127879.5</v>
      </c>
      <c r="P110" s="53">
        <f>M110-(M110*0.1)</f>
        <v>121149</v>
      </c>
      <c r="Q110" s="114">
        <f>N110/K110-1</f>
        <v>-2.6732174161657074E-2</v>
      </c>
      <c r="R110" s="54"/>
    </row>
    <row r="111" spans="2:18">
      <c r="B111" s="126"/>
      <c r="C111" s="168"/>
      <c r="D111" s="5"/>
      <c r="E111" s="5"/>
      <c r="F111" s="6"/>
      <c r="G111" s="6"/>
      <c r="H111" s="6"/>
      <c r="I111" s="6"/>
      <c r="J111" s="6"/>
      <c r="K111" s="6"/>
      <c r="L111" s="6"/>
      <c r="M111" s="6"/>
      <c r="N111" s="6"/>
      <c r="O111" s="6"/>
      <c r="P111" s="6"/>
      <c r="Q111" s="160"/>
      <c r="R111" s="146"/>
    </row>
    <row r="112" spans="2:18" ht="16.899999999999999">
      <c r="B112" s="209" t="s">
        <v>276</v>
      </c>
      <c r="C112" s="209"/>
      <c r="D112" s="209"/>
      <c r="E112" s="209"/>
      <c r="F112" s="209"/>
      <c r="G112" s="209"/>
      <c r="H112" s="209"/>
      <c r="I112" s="209"/>
      <c r="J112" s="209"/>
      <c r="K112" s="209"/>
      <c r="L112" s="199"/>
      <c r="M112" s="121"/>
      <c r="N112" s="121"/>
      <c r="O112" s="121"/>
      <c r="P112" s="121"/>
      <c r="Q112" s="199"/>
      <c r="R112" s="122" t="s">
        <v>277</v>
      </c>
    </row>
    <row r="113" spans="1:18" ht="42.75">
      <c r="B113" s="27" t="s">
        <v>278</v>
      </c>
      <c r="C113" s="149" t="s">
        <v>279</v>
      </c>
      <c r="D113" s="144">
        <v>2520</v>
      </c>
      <c r="E113" s="144">
        <v>2600</v>
      </c>
      <c r="F113" s="29">
        <v>36650</v>
      </c>
      <c r="G113" s="29">
        <v>36650</v>
      </c>
      <c r="H113" s="29">
        <v>36650</v>
      </c>
      <c r="I113" s="29">
        <v>36650</v>
      </c>
      <c r="J113" s="29">
        <v>36650</v>
      </c>
      <c r="K113" s="29">
        <v>36650</v>
      </c>
      <c r="L113" s="29">
        <v>36650</v>
      </c>
      <c r="M113" s="29">
        <v>36650</v>
      </c>
      <c r="N113" s="29">
        <v>36650</v>
      </c>
      <c r="O113" s="29"/>
      <c r="P113" s="29"/>
      <c r="Q113" s="150"/>
      <c r="R113" s="30" t="s">
        <v>280</v>
      </c>
    </row>
    <row r="114" spans="1:18" ht="28.5">
      <c r="A114" s="125">
        <v>30</v>
      </c>
      <c r="B114" s="128" t="s">
        <v>281</v>
      </c>
      <c r="C114" s="201" t="s">
        <v>282</v>
      </c>
      <c r="D114" s="137">
        <v>54930</v>
      </c>
      <c r="E114" s="137">
        <v>71695</v>
      </c>
      <c r="F114" s="4">
        <v>70445</v>
      </c>
      <c r="G114" s="7">
        <v>89781</v>
      </c>
      <c r="H114" s="7">
        <v>87700</v>
      </c>
      <c r="I114" s="7">
        <v>107700</v>
      </c>
      <c r="J114" s="7">
        <v>107700</v>
      </c>
      <c r="K114" s="7">
        <v>107700</v>
      </c>
      <c r="L114" s="7">
        <v>107700</v>
      </c>
      <c r="M114" s="7">
        <v>107700</v>
      </c>
      <c r="N114" s="7">
        <v>107700</v>
      </c>
      <c r="O114" s="7"/>
      <c r="P114" s="7"/>
      <c r="Q114" s="201"/>
      <c r="R114" s="131" t="s">
        <v>283</v>
      </c>
    </row>
    <row r="115" spans="1:18" ht="15.6" hidden="1" customHeight="1">
      <c r="A115" s="13">
        <v>37</v>
      </c>
      <c r="B115" s="23" t="s">
        <v>284</v>
      </c>
      <c r="C115" s="169" t="s">
        <v>285</v>
      </c>
      <c r="D115" s="151">
        <v>32764</v>
      </c>
      <c r="E115" s="151">
        <v>16000</v>
      </c>
      <c r="F115" s="24">
        <v>17250</v>
      </c>
      <c r="G115" s="24">
        <v>18500</v>
      </c>
      <c r="H115" s="24">
        <v>20000</v>
      </c>
      <c r="I115" s="24"/>
      <c r="J115" s="24"/>
      <c r="K115" s="20">
        <v>0</v>
      </c>
      <c r="L115" s="20"/>
      <c r="M115" s="20"/>
      <c r="N115" s="20"/>
      <c r="O115" s="20"/>
      <c r="P115" s="20"/>
      <c r="Q115" s="160"/>
      <c r="R115" s="146"/>
    </row>
    <row r="116" spans="1:18" ht="15.6" hidden="1" customHeight="1">
      <c r="A116" s="125">
        <v>38</v>
      </c>
      <c r="B116" s="152" t="s">
        <v>286</v>
      </c>
      <c r="C116" s="170" t="s">
        <v>287</v>
      </c>
      <c r="D116" s="153">
        <v>2520</v>
      </c>
      <c r="E116" s="153">
        <v>2600</v>
      </c>
      <c r="F116" s="22">
        <v>0</v>
      </c>
      <c r="G116" s="20"/>
      <c r="H116" s="20"/>
      <c r="I116" s="20"/>
      <c r="J116" s="20"/>
      <c r="K116" s="20"/>
      <c r="L116" s="20"/>
      <c r="M116" s="20"/>
      <c r="N116" s="20"/>
      <c r="O116" s="20"/>
      <c r="P116" s="20"/>
      <c r="Q116" s="160"/>
      <c r="R116" s="146"/>
    </row>
    <row r="117" spans="1:18" ht="15.75">
      <c r="B117" s="1"/>
      <c r="C117" s="171" t="s">
        <v>288</v>
      </c>
      <c r="D117" s="123">
        <f t="shared" ref="D117:J117" si="19">SUM(D113:D115)</f>
        <v>90214</v>
      </c>
      <c r="E117" s="123">
        <f t="shared" si="19"/>
        <v>90295</v>
      </c>
      <c r="F117" s="123">
        <f t="shared" si="19"/>
        <v>124345</v>
      </c>
      <c r="G117" s="123">
        <f t="shared" si="19"/>
        <v>144931</v>
      </c>
      <c r="H117" s="123">
        <f t="shared" si="19"/>
        <v>144350</v>
      </c>
      <c r="I117" s="123">
        <f t="shared" si="19"/>
        <v>144350</v>
      </c>
      <c r="J117" s="123">
        <f t="shared" si="19"/>
        <v>144350</v>
      </c>
      <c r="K117" s="123">
        <f>SUM(K113:K115)</f>
        <v>144350</v>
      </c>
      <c r="L117" s="123">
        <f t="shared" ref="L117:N117" si="20">SUM(L113:L115)</f>
        <v>144350</v>
      </c>
      <c r="M117" s="123">
        <f t="shared" si="20"/>
        <v>144350</v>
      </c>
      <c r="N117" s="123">
        <f t="shared" si="20"/>
        <v>144350</v>
      </c>
      <c r="O117" s="123">
        <f>M117-(M117*0.05)</f>
        <v>137132.5</v>
      </c>
      <c r="P117" s="123">
        <f>M117-(M117*0.1)</f>
        <v>129915</v>
      </c>
      <c r="Q117" s="124">
        <f>N117/K117-1</f>
        <v>0</v>
      </c>
      <c r="R117" s="123"/>
    </row>
    <row r="118" spans="1:18">
      <c r="B118" s="126"/>
      <c r="C118" s="168"/>
      <c r="D118" s="5"/>
      <c r="E118" s="5"/>
      <c r="F118" s="6"/>
      <c r="G118" s="6"/>
      <c r="H118" s="6"/>
      <c r="I118" s="6"/>
      <c r="J118" s="6"/>
      <c r="K118" s="6"/>
      <c r="L118" s="6"/>
      <c r="M118" s="6"/>
      <c r="N118" s="6"/>
      <c r="O118" s="6"/>
      <c r="P118" s="6"/>
      <c r="Q118" s="160"/>
      <c r="R118" s="146"/>
    </row>
    <row r="119" spans="1:18">
      <c r="B119" s="126"/>
      <c r="C119" s="168"/>
      <c r="D119" s="5"/>
      <c r="E119" s="5"/>
      <c r="F119" s="6"/>
      <c r="G119" s="6"/>
      <c r="H119" s="6"/>
      <c r="I119" s="6"/>
      <c r="J119" s="6"/>
      <c r="K119" s="6"/>
      <c r="L119" s="6"/>
      <c r="M119" s="6"/>
      <c r="N119" s="6"/>
      <c r="O119" s="6"/>
      <c r="P119" s="6"/>
      <c r="Q119" s="160"/>
      <c r="R119" s="146"/>
    </row>
    <row r="120" spans="1:18">
      <c r="B120" s="126"/>
      <c r="C120" s="168"/>
      <c r="D120" s="5"/>
      <c r="E120" s="5"/>
      <c r="F120" s="6"/>
      <c r="G120" s="6"/>
      <c r="H120" s="6"/>
      <c r="I120" s="6"/>
      <c r="J120" s="6"/>
      <c r="K120" s="6"/>
      <c r="L120" s="6"/>
      <c r="M120" s="6"/>
      <c r="N120" s="6"/>
      <c r="O120" s="6"/>
      <c r="P120" s="6"/>
      <c r="Q120" s="160"/>
      <c r="R120" s="146"/>
    </row>
    <row r="121" spans="1:18" s="16" customFormat="1" ht="23.25" customHeight="1">
      <c r="A121" s="15"/>
      <c r="B121" s="80"/>
      <c r="C121" s="172" t="s">
        <v>289</v>
      </c>
      <c r="D121" s="79">
        <f t="shared" ref="D121:I121" si="21">SUM(D9+D16+D22+D33+D46+D50+D61+D117+D65+D74+D102+D110+D85+D94)</f>
        <v>2223992.31</v>
      </c>
      <c r="E121" s="79">
        <f t="shared" si="21"/>
        <v>2275862</v>
      </c>
      <c r="F121" s="79">
        <f t="shared" si="21"/>
        <v>2451358</v>
      </c>
      <c r="G121" s="79">
        <f t="shared" si="21"/>
        <v>2571343</v>
      </c>
      <c r="H121" s="79">
        <f t="shared" si="21"/>
        <v>2692790</v>
      </c>
      <c r="I121" s="79">
        <f t="shared" si="21"/>
        <v>2911288</v>
      </c>
      <c r="J121" s="79">
        <f>SUM(J9+J16+J22+J33+J46+J50+J61+J117+J65+J74+J102+J110+J85+J94)</f>
        <v>3016272</v>
      </c>
      <c r="K121" s="79">
        <f t="shared" ref="K121:M121" si="22">SUM(K9+K16+K22+K33+K46+K50+K61+K117+K65+K74+K102+K110+K85+K94)</f>
        <v>3211806</v>
      </c>
      <c r="L121" s="79">
        <f t="shared" si="22"/>
        <v>2943246</v>
      </c>
      <c r="M121" s="79">
        <f t="shared" si="22"/>
        <v>3265793</v>
      </c>
      <c r="N121" s="79">
        <f>SUM(N9+N16+N22+N33+N46+N50+N61+N117+N65+N74+N102+N110+N85+N94)</f>
        <v>3175482.8164670356</v>
      </c>
      <c r="O121" s="79">
        <f>SUM(O9+O16+O22+O33+O46+O50+O61+O117+O65+O74+O102+O110+O85+O94)</f>
        <v>3102503.3499999996</v>
      </c>
      <c r="P121" s="79">
        <f>SUM(P9+P16+P22+P33+P46+P50+P61+P117+P65+P74+P102+P110+P85+P94)</f>
        <v>2939213.6999999997</v>
      </c>
      <c r="Q121" s="115">
        <f>N121/K121-1</f>
        <v>-1.1309270713413033E-2</v>
      </c>
      <c r="R121" s="81"/>
    </row>
    <row r="122" spans="1:18" ht="27" customHeight="1">
      <c r="B122" s="142"/>
      <c r="C122" s="173"/>
      <c r="D122" s="10"/>
      <c r="E122" s="10"/>
      <c r="F122" s="11"/>
      <c r="G122" s="11"/>
      <c r="H122" s="11"/>
      <c r="I122" s="11"/>
      <c r="J122" s="11"/>
      <c r="K122" s="125"/>
      <c r="L122" s="125"/>
      <c r="M122" s="125"/>
      <c r="N122" s="154"/>
      <c r="O122" s="154"/>
      <c r="P122" s="154"/>
      <c r="Q122" s="160"/>
      <c r="R122" s="146"/>
    </row>
    <row r="123" spans="1:18" ht="15.75">
      <c r="B123" s="203" t="s">
        <v>290</v>
      </c>
      <c r="C123" s="174" t="s">
        <v>291</v>
      </c>
      <c r="D123" s="108"/>
      <c r="E123" s="108"/>
      <c r="F123" s="109">
        <v>136076</v>
      </c>
      <c r="G123" s="109">
        <v>163515</v>
      </c>
      <c r="H123" s="109">
        <v>163515</v>
      </c>
      <c r="I123" s="109">
        <v>154355</v>
      </c>
      <c r="J123" s="110">
        <v>167093</v>
      </c>
      <c r="K123" s="110">
        <v>170639</v>
      </c>
      <c r="L123" s="110"/>
      <c r="M123" s="110">
        <v>170639</v>
      </c>
      <c r="N123" s="86">
        <v>150000</v>
      </c>
      <c r="O123" s="92">
        <v>150000</v>
      </c>
      <c r="P123" s="88">
        <v>150000</v>
      </c>
      <c r="Q123" s="192"/>
      <c r="R123" s="155"/>
    </row>
    <row r="124" spans="1:18" ht="15.75">
      <c r="B124" s="204"/>
      <c r="C124" s="174" t="s">
        <v>292</v>
      </c>
      <c r="D124" s="108"/>
      <c r="E124" s="108"/>
      <c r="F124" s="109">
        <v>2410045</v>
      </c>
      <c r="G124" s="109">
        <v>2449791</v>
      </c>
      <c r="H124" s="109">
        <v>2540357</v>
      </c>
      <c r="I124" s="109">
        <v>2551981</v>
      </c>
      <c r="J124" s="110">
        <f>3018203-167092</f>
        <v>2851111</v>
      </c>
      <c r="K124" s="110">
        <v>2984107</v>
      </c>
      <c r="L124" s="110"/>
      <c r="M124" s="110">
        <v>2984107</v>
      </c>
      <c r="N124" s="86">
        <f>K124</f>
        <v>2984107</v>
      </c>
      <c r="O124" s="92">
        <f>K124-(K124*0.05)</f>
        <v>2834901.65</v>
      </c>
      <c r="P124" s="88">
        <f>M124-(M124*0.1)</f>
        <v>2685696.3</v>
      </c>
      <c r="Q124" s="193"/>
      <c r="R124" s="155"/>
    </row>
    <row r="125" spans="1:18" ht="15.75">
      <c r="B125" s="204"/>
      <c r="C125" s="174" t="s">
        <v>293</v>
      </c>
      <c r="D125" s="108"/>
      <c r="E125" s="108"/>
      <c r="F125" s="109"/>
      <c r="G125" s="109"/>
      <c r="H125" s="109"/>
      <c r="I125" s="109">
        <v>149000</v>
      </c>
      <c r="J125" s="110">
        <v>0</v>
      </c>
      <c r="K125" s="110">
        <v>0</v>
      </c>
      <c r="L125" s="110"/>
      <c r="M125" s="110">
        <v>0</v>
      </c>
      <c r="N125" s="86">
        <v>0</v>
      </c>
      <c r="O125" s="92">
        <v>0</v>
      </c>
      <c r="P125" s="88">
        <v>0</v>
      </c>
      <c r="Q125" s="192"/>
      <c r="R125" s="155"/>
    </row>
    <row r="126" spans="1:18" ht="15.75">
      <c r="B126" s="205"/>
      <c r="C126" s="174" t="s">
        <v>294</v>
      </c>
      <c r="D126" s="108"/>
      <c r="E126" s="108"/>
      <c r="F126" s="109">
        <v>50000</v>
      </c>
      <c r="G126" s="109">
        <v>50000</v>
      </c>
      <c r="H126" s="109">
        <v>50000</v>
      </c>
      <c r="I126" s="109">
        <f>41075+2415.77</f>
        <v>43490.77</v>
      </c>
      <c r="J126" s="110">
        <v>0</v>
      </c>
      <c r="K126" s="110">
        <v>0</v>
      </c>
      <c r="L126" s="110"/>
      <c r="M126" s="110">
        <v>0</v>
      </c>
      <c r="N126" s="86">
        <v>0</v>
      </c>
      <c r="O126" s="92">
        <v>0</v>
      </c>
      <c r="P126" s="88">
        <v>0</v>
      </c>
      <c r="Q126" s="193"/>
      <c r="R126" s="155"/>
    </row>
    <row r="127" spans="1:18" ht="15.75">
      <c r="B127" s="27"/>
      <c r="C127" s="175" t="s">
        <v>295</v>
      </c>
      <c r="D127" s="104"/>
      <c r="E127" s="104"/>
      <c r="F127" s="105"/>
      <c r="G127" s="105"/>
      <c r="H127" s="105"/>
      <c r="I127" s="105"/>
      <c r="J127" s="106"/>
      <c r="K127" s="107">
        <f>(SUM(K123:K124))-K121</f>
        <v>-57060</v>
      </c>
      <c r="L127" s="107">
        <f t="shared" ref="L127:M127" si="23">(SUM(L123:L124))-L121</f>
        <v>-2943246</v>
      </c>
      <c r="M127" s="107">
        <f t="shared" si="23"/>
        <v>-111047</v>
      </c>
      <c r="N127" s="87">
        <f>(SUM(N123:N126))-N121</f>
        <v>-41375.816467035562</v>
      </c>
      <c r="O127" s="93">
        <f>O123+O124-N121</f>
        <v>-190581.16646703565</v>
      </c>
      <c r="P127" s="89">
        <f>P123+P124-N121</f>
        <v>-339786.51646703575</v>
      </c>
      <c r="Q127" s="150"/>
      <c r="R127" s="156"/>
    </row>
    <row r="128" spans="1:18" s="140" customFormat="1" ht="15.75">
      <c r="B128" s="157"/>
      <c r="C128" s="176"/>
      <c r="D128" s="83"/>
      <c r="E128" s="83"/>
      <c r="F128" s="84"/>
      <c r="G128" s="84"/>
      <c r="H128" s="84"/>
      <c r="I128" s="84"/>
      <c r="J128" s="85"/>
      <c r="K128" s="85"/>
      <c r="L128" s="85"/>
      <c r="M128" s="85"/>
      <c r="N128" s="85"/>
      <c r="O128" s="85"/>
      <c r="P128" s="85"/>
      <c r="Q128" s="194"/>
      <c r="R128" s="158"/>
    </row>
    <row r="129" spans="2:19" s="125" customFormat="1" ht="13.15" customHeight="1">
      <c r="C129" s="160"/>
      <c r="Q129" s="195"/>
      <c r="R129" s="146"/>
      <c r="S129" s="146"/>
    </row>
    <row r="130" spans="2:19">
      <c r="B130" s="125"/>
      <c r="C130" s="160"/>
      <c r="D130" s="125"/>
      <c r="E130" s="125"/>
      <c r="F130" s="125"/>
      <c r="G130" s="125"/>
      <c r="H130" s="125"/>
      <c r="I130" s="125"/>
      <c r="J130" s="125"/>
      <c r="K130" s="125"/>
      <c r="L130" s="125"/>
      <c r="M130" s="125"/>
      <c r="N130" s="125"/>
      <c r="O130" s="125"/>
      <c r="P130" s="125"/>
      <c r="Q130" s="160"/>
      <c r="R130" s="146"/>
    </row>
    <row r="131" spans="2:19" ht="26.25" customHeight="1">
      <c r="B131" s="100" t="s">
        <v>296</v>
      </c>
      <c r="C131" s="177"/>
      <c r="D131" s="95"/>
      <c r="E131" s="95"/>
      <c r="F131" s="95"/>
      <c r="G131" s="95"/>
      <c r="H131" s="95"/>
      <c r="I131" s="95"/>
      <c r="J131" s="95"/>
      <c r="K131" s="96" t="s">
        <v>297</v>
      </c>
      <c r="L131" s="97"/>
      <c r="M131" s="208" t="s">
        <v>298</v>
      </c>
      <c r="N131" s="208"/>
      <c r="O131" s="126"/>
      <c r="P131" s="197"/>
      <c r="R131" s="33"/>
    </row>
    <row r="132" spans="2:19">
      <c r="B132" s="119" t="s">
        <v>249</v>
      </c>
      <c r="C132" s="120" t="s">
        <v>299</v>
      </c>
      <c r="D132" s="82"/>
      <c r="E132" s="82"/>
      <c r="F132" s="82"/>
      <c r="G132" s="82"/>
      <c r="H132" s="82"/>
      <c r="I132" s="82"/>
      <c r="J132" s="82"/>
      <c r="K132" s="76">
        <v>6331</v>
      </c>
      <c r="M132" s="207" t="s">
        <v>300</v>
      </c>
      <c r="N132" s="207"/>
      <c r="O132" s="63"/>
      <c r="P132" s="146"/>
      <c r="R132" s="33"/>
    </row>
    <row r="133" spans="2:19">
      <c r="B133" s="119" t="s">
        <v>241</v>
      </c>
      <c r="C133" s="120" t="s">
        <v>301</v>
      </c>
      <c r="D133" s="82"/>
      <c r="E133" s="82"/>
      <c r="F133" s="82"/>
      <c r="G133" s="82"/>
      <c r="H133" s="82"/>
      <c r="I133" s="82"/>
      <c r="J133" s="82"/>
      <c r="K133" s="77">
        <v>4180</v>
      </c>
      <c r="M133" s="207" t="s">
        <v>302</v>
      </c>
      <c r="N133" s="207"/>
      <c r="O133" s="65"/>
      <c r="P133" s="146"/>
      <c r="R133" s="33"/>
    </row>
    <row r="134" spans="2:19">
      <c r="B134" s="119" t="s">
        <v>252</v>
      </c>
      <c r="C134" s="120" t="s">
        <v>303</v>
      </c>
      <c r="D134" s="82"/>
      <c r="E134" s="82"/>
      <c r="F134" s="82"/>
      <c r="G134" s="82"/>
      <c r="H134" s="82"/>
      <c r="I134" s="82"/>
      <c r="J134" s="82"/>
      <c r="K134" s="77">
        <v>8000</v>
      </c>
      <c r="M134" s="207" t="s">
        <v>304</v>
      </c>
      <c r="N134" s="207"/>
      <c r="O134" s="65"/>
      <c r="P134" s="146"/>
      <c r="R134" s="33"/>
    </row>
    <row r="135" spans="2:19">
      <c r="B135" s="119" t="s">
        <v>305</v>
      </c>
      <c r="C135" s="120" t="s">
        <v>306</v>
      </c>
      <c r="D135" s="82"/>
      <c r="E135" s="82"/>
      <c r="F135" s="82"/>
      <c r="G135" s="82"/>
      <c r="H135" s="82"/>
      <c r="I135" s="82"/>
      <c r="J135" s="82"/>
      <c r="K135" s="77">
        <v>1466</v>
      </c>
      <c r="M135" s="207" t="s">
        <v>304</v>
      </c>
      <c r="N135" s="207"/>
      <c r="O135" s="65"/>
      <c r="P135" s="146"/>
      <c r="R135" s="33"/>
    </row>
    <row r="136" spans="2:19">
      <c r="B136" s="120" t="s">
        <v>196</v>
      </c>
      <c r="C136" s="120" t="s">
        <v>307</v>
      </c>
      <c r="D136" s="82"/>
      <c r="E136" s="82"/>
      <c r="F136" s="82"/>
      <c r="G136" s="82"/>
      <c r="H136" s="82"/>
      <c r="I136" s="82"/>
      <c r="J136" s="82"/>
      <c r="K136" s="77">
        <v>7000</v>
      </c>
      <c r="M136" s="207" t="s">
        <v>302</v>
      </c>
      <c r="N136" s="207"/>
      <c r="O136" s="66"/>
      <c r="P136" s="146"/>
      <c r="R136" s="33"/>
    </row>
    <row r="137" spans="2:19">
      <c r="B137" s="120" t="s">
        <v>266</v>
      </c>
      <c r="C137" s="120" t="s">
        <v>308</v>
      </c>
      <c r="D137" s="82"/>
      <c r="E137" s="82"/>
      <c r="F137" s="82"/>
      <c r="G137" s="82"/>
      <c r="H137" s="82"/>
      <c r="I137" s="82"/>
      <c r="J137" s="82"/>
      <c r="K137" s="77">
        <v>8607</v>
      </c>
      <c r="M137" s="207" t="s">
        <v>322</v>
      </c>
      <c r="N137" s="207"/>
      <c r="O137" s="66"/>
      <c r="P137" s="146"/>
      <c r="R137" s="33"/>
    </row>
    <row r="138" spans="2:19">
      <c r="B138" s="120" t="s">
        <v>77</v>
      </c>
      <c r="C138" s="120" t="s">
        <v>309</v>
      </c>
      <c r="D138" s="82"/>
      <c r="E138" s="82"/>
      <c r="F138" s="82"/>
      <c r="G138" s="82"/>
      <c r="H138" s="82"/>
      <c r="I138" s="82"/>
      <c r="J138" s="82"/>
      <c r="K138" s="77">
        <v>36000</v>
      </c>
      <c r="M138" s="207" t="s">
        <v>310</v>
      </c>
      <c r="N138" s="207"/>
      <c r="O138" s="66"/>
      <c r="P138" s="146"/>
      <c r="R138" s="33"/>
    </row>
    <row r="139" spans="2:19">
      <c r="B139" s="120" t="s">
        <v>231</v>
      </c>
      <c r="C139" s="120" t="s">
        <v>311</v>
      </c>
      <c r="D139" s="82"/>
      <c r="E139" s="82"/>
      <c r="F139" s="82"/>
      <c r="G139" s="82"/>
      <c r="H139" s="82"/>
      <c r="I139" s="82"/>
      <c r="J139" s="82"/>
      <c r="K139" s="78">
        <v>1000</v>
      </c>
      <c r="M139" s="207" t="s">
        <v>302</v>
      </c>
      <c r="N139" s="207"/>
      <c r="O139" s="67" t="s">
        <v>312</v>
      </c>
      <c r="P139" s="146"/>
      <c r="R139" s="33"/>
    </row>
    <row r="140" spans="2:19">
      <c r="B140" s="120" t="s">
        <v>313</v>
      </c>
      <c r="C140" s="120" t="s">
        <v>314</v>
      </c>
      <c r="D140" s="82"/>
      <c r="E140" s="82"/>
      <c r="F140" s="82"/>
      <c r="G140" s="82"/>
      <c r="H140" s="82"/>
      <c r="I140" s="82"/>
      <c r="J140" s="82"/>
      <c r="K140" s="78">
        <v>9090</v>
      </c>
      <c r="M140" s="207" t="s">
        <v>315</v>
      </c>
      <c r="N140" s="207"/>
      <c r="O140" s="67" t="s">
        <v>316</v>
      </c>
      <c r="P140" s="146"/>
      <c r="R140" s="33"/>
    </row>
    <row r="141" spans="2:19">
      <c r="B141" s="120" t="s">
        <v>193</v>
      </c>
      <c r="C141" s="120" t="s">
        <v>317</v>
      </c>
      <c r="D141" s="82"/>
      <c r="E141" s="82"/>
      <c r="F141" s="82"/>
      <c r="G141" s="82"/>
      <c r="H141" s="82"/>
      <c r="I141" s="82"/>
      <c r="J141" s="82"/>
      <c r="K141" s="78">
        <v>7302</v>
      </c>
      <c r="M141" s="207" t="s">
        <v>302</v>
      </c>
      <c r="N141" s="207"/>
      <c r="O141" s="66"/>
      <c r="P141" s="146"/>
      <c r="R141" s="33"/>
    </row>
    <row r="142" spans="2:19">
      <c r="B142" s="120" t="s">
        <v>313</v>
      </c>
      <c r="C142" s="120" t="s">
        <v>318</v>
      </c>
      <c r="D142" s="82"/>
      <c r="E142" s="82"/>
      <c r="F142" s="82"/>
      <c r="G142" s="82"/>
      <c r="H142" s="82"/>
      <c r="I142" s="82"/>
      <c r="J142" s="82"/>
      <c r="K142" s="78">
        <v>18000</v>
      </c>
      <c r="M142" s="207" t="s">
        <v>319</v>
      </c>
      <c r="N142" s="207"/>
      <c r="O142" s="66"/>
      <c r="P142" s="146"/>
      <c r="R142" s="33"/>
    </row>
    <row r="143" spans="2:19">
      <c r="B143" s="120" t="s">
        <v>313</v>
      </c>
      <c r="C143" s="120" t="s">
        <v>188</v>
      </c>
      <c r="D143" s="82"/>
      <c r="E143" s="82"/>
      <c r="F143" s="82"/>
      <c r="G143" s="82"/>
      <c r="H143" s="82"/>
      <c r="I143" s="82"/>
      <c r="J143" s="82"/>
      <c r="K143" s="78">
        <v>3000</v>
      </c>
      <c r="M143" s="207" t="s">
        <v>320</v>
      </c>
      <c r="N143" s="207"/>
      <c r="O143" s="66"/>
      <c r="P143" s="146"/>
      <c r="R143" s="33"/>
    </row>
    <row r="144" spans="2:19">
      <c r="B144" s="101"/>
      <c r="C144" s="178" t="s">
        <v>321</v>
      </c>
      <c r="D144" s="98"/>
      <c r="E144" s="98"/>
      <c r="F144" s="98"/>
      <c r="G144" s="98"/>
      <c r="H144" s="98"/>
      <c r="I144" s="98"/>
      <c r="J144" s="98"/>
      <c r="K144" s="99">
        <f>SUM(K132:K143)</f>
        <v>109976</v>
      </c>
      <c r="L144" s="159"/>
      <c r="M144" s="206"/>
      <c r="N144" s="206"/>
      <c r="O144" s="66"/>
      <c r="P144" s="146"/>
      <c r="R144" s="33"/>
    </row>
    <row r="145" spans="2:17">
      <c r="B145" s="67"/>
      <c r="C145" s="67"/>
      <c r="D145" s="62"/>
      <c r="E145" s="62"/>
      <c r="F145" s="68"/>
      <c r="G145" s="68"/>
      <c r="H145" s="62"/>
      <c r="I145" s="62"/>
      <c r="J145" s="62"/>
      <c r="K145" s="64"/>
      <c r="M145" s="65"/>
      <c r="N145" s="65"/>
      <c r="O145" s="65"/>
      <c r="P145" s="65"/>
      <c r="Q145" s="67"/>
    </row>
    <row r="146" spans="2:17">
      <c r="B146" s="65"/>
      <c r="C146" s="67"/>
      <c r="D146" s="62"/>
      <c r="E146" s="62"/>
      <c r="F146" s="68"/>
      <c r="G146" s="68"/>
      <c r="H146" s="62"/>
      <c r="I146" s="62"/>
      <c r="J146" s="62"/>
      <c r="K146" s="69"/>
      <c r="M146" s="69"/>
      <c r="N146" s="69"/>
      <c r="O146" s="69"/>
      <c r="P146" s="69"/>
      <c r="Q146" s="196"/>
    </row>
    <row r="147" spans="2:17">
      <c r="B147" s="65"/>
      <c r="C147" s="67"/>
      <c r="D147" s="62"/>
      <c r="E147" s="62"/>
      <c r="F147" s="68"/>
      <c r="G147" s="68"/>
      <c r="H147" s="62"/>
      <c r="I147" s="62"/>
      <c r="J147" s="62"/>
      <c r="K147" s="62"/>
      <c r="M147" s="65"/>
      <c r="N147" s="65"/>
      <c r="O147" s="65"/>
      <c r="P147" s="65"/>
      <c r="Q147" s="67"/>
    </row>
    <row r="148" spans="2:17">
      <c r="B148" s="65"/>
      <c r="C148" s="67"/>
      <c r="D148" s="62"/>
      <c r="E148" s="62"/>
      <c r="F148" s="68"/>
      <c r="G148" s="68"/>
      <c r="H148" s="62"/>
      <c r="I148" s="62"/>
      <c r="J148" s="62"/>
      <c r="K148" s="70"/>
      <c r="M148" s="66"/>
      <c r="N148" s="66"/>
      <c r="O148" s="66"/>
      <c r="P148" s="66"/>
      <c r="Q148" s="67"/>
    </row>
    <row r="149" spans="2:17">
      <c r="B149" s="65"/>
      <c r="C149" s="67"/>
      <c r="D149" s="62"/>
      <c r="E149" s="62"/>
      <c r="F149" s="68"/>
      <c r="G149" s="68"/>
      <c r="H149" s="62"/>
      <c r="I149" s="62"/>
      <c r="J149" s="62"/>
      <c r="K149" s="62"/>
      <c r="M149" s="62"/>
      <c r="N149" s="62"/>
      <c r="O149" s="62"/>
      <c r="P149" s="62"/>
      <c r="Q149" s="67"/>
    </row>
    <row r="150" spans="2:17">
      <c r="B150" s="65"/>
      <c r="C150" s="67"/>
      <c r="D150" s="62"/>
      <c r="E150" s="62"/>
      <c r="F150" s="68"/>
      <c r="G150" s="68"/>
      <c r="H150" s="62"/>
      <c r="I150" s="62"/>
      <c r="J150" s="62"/>
      <c r="K150" s="71"/>
      <c r="L150" s="65"/>
    </row>
  </sheetData>
  <mergeCells count="59">
    <mergeCell ref="B2:C2"/>
    <mergeCell ref="B11:C11"/>
    <mergeCell ref="D11:E11"/>
    <mergeCell ref="F11:G11"/>
    <mergeCell ref="H11:I11"/>
    <mergeCell ref="J11:K11"/>
    <mergeCell ref="H18:I18"/>
    <mergeCell ref="J18:K18"/>
    <mergeCell ref="B24:C24"/>
    <mergeCell ref="B18:C18"/>
    <mergeCell ref="D18:E18"/>
    <mergeCell ref="F18:G18"/>
    <mergeCell ref="H112:I112"/>
    <mergeCell ref="D24:E24"/>
    <mergeCell ref="F24:G24"/>
    <mergeCell ref="H24:I24"/>
    <mergeCell ref="J24:K24"/>
    <mergeCell ref="J112:K112"/>
    <mergeCell ref="J67:K67"/>
    <mergeCell ref="J63:K63"/>
    <mergeCell ref="B35:C35"/>
    <mergeCell ref="D35:E35"/>
    <mergeCell ref="F35:G35"/>
    <mergeCell ref="H35:I35"/>
    <mergeCell ref="J35:K35"/>
    <mergeCell ref="B52:C52"/>
    <mergeCell ref="D52:E52"/>
    <mergeCell ref="F52:G52"/>
    <mergeCell ref="H52:I52"/>
    <mergeCell ref="J52:K52"/>
    <mergeCell ref="B67:C67"/>
    <mergeCell ref="B63:C63"/>
    <mergeCell ref="D67:E67"/>
    <mergeCell ref="F67:G67"/>
    <mergeCell ref="H67:I67"/>
    <mergeCell ref="D63:E63"/>
    <mergeCell ref="F63:G63"/>
    <mergeCell ref="H63:I63"/>
    <mergeCell ref="B112:C112"/>
    <mergeCell ref="D112:E112"/>
    <mergeCell ref="F112:G112"/>
    <mergeCell ref="B104:C104"/>
    <mergeCell ref="B76:C76"/>
    <mergeCell ref="B96:C96"/>
    <mergeCell ref="B123:B126"/>
    <mergeCell ref="M144:N144"/>
    <mergeCell ref="M143:N143"/>
    <mergeCell ref="M142:N142"/>
    <mergeCell ref="M141:N141"/>
    <mergeCell ref="M140:N140"/>
    <mergeCell ref="M134:N134"/>
    <mergeCell ref="M133:N133"/>
    <mergeCell ref="M132:N132"/>
    <mergeCell ref="M131:N131"/>
    <mergeCell ref="M139:N139"/>
    <mergeCell ref="M138:N138"/>
    <mergeCell ref="M137:N137"/>
    <mergeCell ref="M136:N136"/>
    <mergeCell ref="M135:N135"/>
  </mergeCells>
  <pageMargins left="0.45" right="0.4" top="0.5" bottom="0.4" header="0.3" footer="0.3"/>
  <pageSetup scale="53" fitToHeight="5" orientation="landscape" r:id="rId1"/>
  <ignoredErrors>
    <ignoredError sqref="K22 K46 N127" formula="1"/>
    <ignoredError sqref="H110:I110 K127 M127"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m H 6 U U C s 3 B X C o A A A A + A A A A B I A H A B D b 2 5 m a W c v U G F j a 2 F n Z S 5 4 b W w g o h g A K K A U A A A A A A A A A A A A A A A A A A A A A A A A A A A A h Y 9 N D o I w G E S v Q r q n L f U H J B 9 l 4 V Y S E 6 J x S 2 q F R i i G F s v d X H g k r y C J o u 5 c z u R N 8 u Z x u 0 M 6 N L V 3 l Z 1 R r U 5 Q g C n y p B b t U e k y Q b 0 9 + R F K O W w L c S 5 K 6 Y 2 w N v F g V I I q a y 8 x I c 4 5 7 G a 4 7 U r C K A 3 I I d v k o p J N 4 S t t b K G F R J / V 8 f 8 K c d i / Z D j D 4 Q o v w m W E 2 T w A M t W Q K f 1 F 2 G i M K Z C f E t Z 9 b f t O c q n 9 X Q 5 k i k D e L / g T U E s D B B Q A A g A I A J h + l 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f p R Q K I p H u A 4 A A A A R A A A A E w A c A E Z v c m 1 1 b G F z L 1 N l Y 3 R p b 2 4 x L m 0 g o h g A K K A U A A A A A A A A A A A A A A A A A A A A A A A A A A A A K 0 5 N L s n M z 1 M I h t C G 1 g B Q S w E C L Q A U A A I A C A C Y f p R Q K z c F c K g A A A D 4 A A A A E g A A A A A A A A A A A A A A A A A A A A A A Q 2 9 u Z m l n L 1 B h Y 2 t h Z 2 U u e G 1 s U E s B A i 0 A F A A C A A g A m H 6 U U A / K 6 a u k A A A A 6 Q A A A B M A A A A A A A A A A A A A A A A A 9 A A A A F t D b 2 5 0 Z W 5 0 X 1 R 5 c G V z X S 5 4 b W x Q S w E C L Q A U A A I A C A C Y f p R 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o R G J C M n N k a x a D A N z 1 l 2 n Q A A A A A C A A A A A A A Q Z g A A A A E A A C A A A A D U 4 z g k y N a M X y l 7 8 8 0 / o I D X w J 5 W e / h p + o X u 6 n i i o x u U O A A A A A A O g A A A A A I A A C A A A A A k a a r 9 J s d e 6 X 6 P L 1 R Q p p 0 4 F 6 3 Z l o C J x g c r 2 D m 9 u + h q r 1 A A A A C Z W 6 B p s Q L 4 M r / 6 W Q D h x d S + K Q 0 g q I Y I K y R S J x S K X m d 6 N s r M V D W a m c K l U R 0 B 6 n r g 4 / U X n A r g u m Y B / k M O 0 4 H A b j q e b L M e V s s g l L 1 S V j Y C U v 2 W T k A A A A B d d v J J p O y z C a r B j F y 4 v 3 + E 2 P H y f Z 4 u W v V T 9 p 1 h L 3 r o F b t S O 8 B f h p c a j I 4 3 a X E Y I P p 0 N 1 h I B k R D G t J v k p n f T P N X < / 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6" ma:contentTypeDescription="Create a new document." ma:contentTypeScope="" ma:versionID="c5ff605ad613933de8798c39d1bb89b3">
  <xsd:schema xmlns:xsd="http://www.w3.org/2001/XMLSchema" xmlns:xs="http://www.w3.org/2001/XMLSchema" xmlns:p="http://schemas.microsoft.com/office/2006/metadata/properties" xmlns:ns2="ad9bfc3b-234e-4db4-998c-823bd70b5c6e" xmlns:ns3="7249e3e7-cbf4-4263-9a24-19d494b1978f" targetNamespace="http://schemas.microsoft.com/office/2006/metadata/properties" ma:root="true" ma:fieldsID="02b539e0a99b62f6cd080c4c95dbcd90" ns2:_="" ns3:_="">
    <xsd:import namespace="ad9bfc3b-234e-4db4-998c-823bd70b5c6e"/>
    <xsd:import namespace="7249e3e7-cbf4-4263-9a24-19d494b197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9e3e7-cbf4-4263-9a24-19d494b197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446172-D460-43EC-9568-5B108F7E5C1D}">
  <ds:schemaRefs>
    <ds:schemaRef ds:uri="http://purl.org/dc/dcmitype/"/>
    <ds:schemaRef ds:uri="7249e3e7-cbf4-4263-9a24-19d494b1978f"/>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ad9bfc3b-234e-4db4-998c-823bd70b5c6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6534E59-D592-4B17-A217-5FD254285835}">
  <ds:schemaRefs>
    <ds:schemaRef ds:uri="http://schemas.microsoft.com/DataMashup"/>
  </ds:schemaRefs>
</ds:datastoreItem>
</file>

<file path=customXml/itemProps3.xml><?xml version="1.0" encoding="utf-8"?>
<ds:datastoreItem xmlns:ds="http://schemas.openxmlformats.org/officeDocument/2006/customXml" ds:itemID="{1AE9DF7F-18AF-482A-85C4-DA42C0E735EC}">
  <ds:schemaRefs>
    <ds:schemaRef ds:uri="http://schemas.microsoft.com/sharepoint/v3/contenttype/forms"/>
  </ds:schemaRefs>
</ds:datastoreItem>
</file>

<file path=customXml/itemProps4.xml><?xml version="1.0" encoding="utf-8"?>
<ds:datastoreItem xmlns:ds="http://schemas.openxmlformats.org/officeDocument/2006/customXml" ds:itemID="{33AE1E1A-CB3A-4BAD-9D00-7E42017E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7249e3e7-cbf4-4263-9a24-19d494b19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Jo</dc:creator>
  <cp:keywords/>
  <dc:description/>
  <cp:lastModifiedBy>Nate Jo</cp:lastModifiedBy>
  <cp:revision/>
  <dcterms:created xsi:type="dcterms:W3CDTF">2014-05-01T23:07:36Z</dcterms:created>
  <dcterms:modified xsi:type="dcterms:W3CDTF">2020-05-09T21:41:44Z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